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gSc0BIgiUmgIMCIjiImS3fXVkdGG97v8L1lkXWQ4Hyn/Xu4VJ2uQXVZHOgxSlq65swDISUvoekL9+ePv/luvuw==" workbookSaltValue="/0KICXWmdUcw1Vdbchsuz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L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AN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R10" i="14" s="1"/>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EP19" i="8"/>
  <c r="AJ13" i="16"/>
  <c r="BF11" i="11"/>
  <c r="BG10" i="11"/>
  <c r="BK12" i="11"/>
  <c r="S13" i="16"/>
  <c r="P13" i="16"/>
  <c r="H13" i="21"/>
  <c r="AN13" i="20"/>
  <c r="F15" i="17"/>
  <c r="AQ15" i="17" s="1"/>
  <c r="AO12" i="11"/>
  <c r="E12" i="6"/>
  <c r="BI10" i="11"/>
  <c r="R10" i="21"/>
  <c r="R13" i="21" s="1"/>
  <c r="BH17" i="11"/>
  <c r="BW9" i="20"/>
  <c r="BV15" i="16"/>
  <c r="BU17" i="17"/>
  <c r="T13" i="16"/>
  <c r="S15" i="16"/>
  <c r="BL10" i="11"/>
  <c r="BG16" i="11"/>
  <c r="BK10" i="11"/>
  <c r="T13" i="20"/>
  <c r="BG12" i="8"/>
  <c r="BD9" i="8"/>
  <c r="L10" i="2"/>
  <c r="V9" i="16"/>
  <c r="BF15" i="13"/>
  <c r="BG15" i="13"/>
  <c r="BA18" i="13"/>
  <c r="BE15" i="13"/>
  <c r="BF16" i="13"/>
  <c r="W20" i="20"/>
  <c r="AA20" i="20"/>
  <c r="AV20" i="20"/>
  <c r="AP20" i="20"/>
  <c r="M20" i="20"/>
  <c r="C18" i="7" l="1"/>
  <c r="G18" i="12"/>
  <c r="BG15" i="8"/>
  <c r="T19" i="8"/>
  <c r="H13" i="12"/>
  <c r="BE9" i="8"/>
  <c r="I9" i="7" s="1"/>
  <c r="M18" i="2"/>
  <c r="K12" i="7"/>
  <c r="AO17" i="11"/>
  <c r="AO9" i="11"/>
  <c r="L16" i="2"/>
  <c r="BM9" i="11"/>
  <c r="BK16" i="11"/>
  <c r="BF12" i="11"/>
  <c r="AA15" i="16"/>
  <c r="BU12" i="17"/>
  <c r="BU9" i="17"/>
  <c r="BV16" i="16"/>
  <c r="AP17" i="20"/>
  <c r="BG9" i="11"/>
  <c r="V9" i="11"/>
  <c r="BK15" i="11"/>
  <c r="BK9" i="11"/>
  <c r="P17" i="17"/>
  <c r="F15" i="16"/>
  <c r="BE12" i="21"/>
  <c r="F11" i="11"/>
  <c r="AQ11" i="11" s="1"/>
  <c r="X12" i="2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V10" i="16"/>
  <c r="S15" i="17"/>
  <c r="BH12" i="16"/>
  <c r="T11" i="11"/>
  <c r="BH11" i="11"/>
  <c r="BJ10" i="11"/>
  <c r="BL15" i="11"/>
  <c r="P15" i="17"/>
  <c r="AZ11" i="11"/>
  <c r="S11" i="17"/>
  <c r="BV10" i="16"/>
  <c r="BW15" i="20"/>
  <c r="BW16" i="20"/>
  <c r="BW17" i="20"/>
  <c r="BU15" i="17"/>
  <c r="BM15" i="11"/>
  <c r="BL11" i="11"/>
  <c r="BI17" i="11"/>
  <c r="BJ11" i="11"/>
  <c r="Q10" i="21"/>
  <c r="V11" i="11"/>
  <c r="BF10" i="11"/>
  <c r="BL17" i="11"/>
  <c r="BM16" i="11"/>
  <c r="BH17" i="16"/>
  <c r="BH11" i="16"/>
  <c r="T9" i="11"/>
  <c r="R17" i="14"/>
  <c r="AM12"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AH20" i="20"/>
  <c r="AI20" i="20"/>
  <c r="AM20" i="20"/>
  <c r="AC20" i="20"/>
  <c r="AB20" i="20"/>
  <c r="I20" i="20"/>
  <c r="AD20" i="20"/>
  <c r="AX20" i="20"/>
  <c r="G18" i="14"/>
  <c r="U12" i="11"/>
  <c r="AJ20" i="20"/>
  <c r="O10" i="11"/>
  <c r="AL20" i="20"/>
  <c r="AG20" i="20"/>
  <c r="AE20" i="20"/>
  <c r="P20" i="20"/>
  <c r="Y20" i="20"/>
  <c r="Q20" i="20"/>
  <c r="F20" i="20"/>
  <c r="AF20" i="20"/>
  <c r="O16" i="11"/>
  <c r="T20" i="21"/>
  <c r="U10" i="11"/>
  <c r="H20" i="20"/>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U17" i="11"/>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R20" i="21"/>
  <c r="L20" i="16"/>
  <c r="O12" i="1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<sst xmlns="http://schemas.openxmlformats.org/spreadsheetml/2006/main" count="2102" uniqueCount="915">
  <si>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</si>
  <si>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</si>
  <si>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</si>
  <si>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</si>
  <si>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</si>
  <si>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</si>
  <si>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</si>
  <si>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</si>
  <si>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</si>
  <si>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</si>
  <si>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</si>
  <si>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</si>
  <si>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</si>
  <si>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</si>
  <si>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</si>
  <si>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</si>
  <si>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</si>
  <si>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</si>
  <si>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</si>
  <si>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</si>
  <si>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</si>
  <si>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</si>
  <si>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</si>
  <si>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</si>
  <si>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</si>
  <si>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</si>
  <si>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</si>
  <si>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</si>
  <si>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</si>
  <si>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</si>
  <si>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</si>
  <si>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</si>
  <si>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</si>
  <si>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</si>
  <si>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</si>
  <si>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</si>
  <si>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</si>
  <si>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</si>
  <si>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</si>
  <si>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</si>
  <si>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</si>
  <si>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</si>
  <si>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</si>
  <si>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</si>
  <si>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</si>
  <si>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</si>
  <si>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</si>
  <si>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</si>
  <si>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</si>
  <si>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</si>
  <si>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</si>
  <si>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</si>
  <si>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</si>
  <si>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</si>
  <si>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</si>
  <si>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</si>
  <si>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</si>
  <si>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</si>
  <si>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</si>
  <si>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</si>
  <si>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</si>
  <si>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</si>
  <si>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</si>
  <si>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</si>
  <si>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</si>
  <si>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</si>
  <si>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</si>
  <si>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</si>
  <si>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</si>
  <si>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</si>
  <si>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</si>
  <si>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</si>
  <si>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</si>
  <si>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</si>
  <si>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</si>
  <si>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</si>
  <si>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</si>
  <si>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</si>
  <si>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</si>
  <si>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</si>
  <si>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</si>
  <si>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</si>
  <si>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</si>
  <si>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</si>
  <si>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</si>
  <si>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</si>
  <si>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</si>
  <si>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</si>
  <si>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</si>
  <si>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</si>
  <si>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</si>
  <si>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</si>
  <si>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</si>
  <si>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</si>
  <si>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</si>
  <si>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</si>
  <si>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</si>
  <si>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</si>
  <si>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</si>
  <si>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</si>
  <si>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</si>
  <si>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</si>
  <si>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</si>
  <si>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</si>
  <si>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</si>
  <si>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</si>
  <si>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</si>
  <si>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</si>
  <si>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</si>
  <si>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</si>
  <si>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</si>
  <si>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</si>
  <si>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</si>
  <si>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</si>
  <si>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</si>
  <si>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</si>
  <si>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</si>
  <si>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</si>
  <si>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</si>
  <si>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</si>
  <si>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</si>
  <si>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</si>
  <si>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</si>
  <si>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</si>
  <si>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</si>
  <si>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</si>
  <si>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</si>
  <si>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</si>
  <si>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</si>
  <si>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</si>
  <si>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</si>
  <si>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</si>
  <si>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</si>
  <si>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</si>
  <si>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</si>
  <si>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</si>
  <si>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</si>
  <si>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</si>
  <si>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</si>
  <si>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</si>
  <si>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</si>
  <si>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</si>
  <si>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</si>
  <si>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</si>
  <si>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</si>
  <si>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</si>
  <si>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</si>
  <si>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</si>
  <si>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</si>
  <si>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</si>
  <si>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</si>
  <si>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</si>
  <si>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</si>
  <si>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</si>
  <si>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</si>
  <si>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</si>
  <si>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</si>
  <si>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</si>
  <si>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</si>
  <si>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</si>
  <si>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</si>
  <si>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</si>
  <si>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</si>
  <si>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</si>
  <si>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</si>
  <si>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</si>
  <si>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</si>
  <si>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</si>
  <si>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</si>
  <si>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</si>
  <si>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</si>
  <si>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</si>
  <si>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</si>
  <si>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</si>
  <si>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</si>
  <si>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</si>
  <si>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</si>
  <si>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</si>
  <si>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</si>
  <si>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</si>
  <si>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</si>
  <si>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</si>
  <si>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</si>
  <si>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</si>
  <si>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</si>
  <si>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</si>
  <si>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</si>
  <si>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</si>
  <si>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</si>
  <si>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</si>
  <si>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</si>
  <si>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</si>
  <si>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</si>
  <si>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</si>
  <si>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</si>
  <si>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</si>
  <si>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</si>
  <si>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</si>
  <si>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</si>
  <si>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</si>
  <si>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</si>
  <si>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</si>
  <si>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</si>
  <si>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</si>
  <si>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</si>
  <si>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</si>
  <si>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</si>
  <si>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</si>
  <si>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</si>
  <si>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</si>
  <si>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</si>
  <si>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</si>
  <si>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</si>
  <si>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</si>
  <si>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</si>
  <si>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</si>
  <si>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</si>
  <si>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</si>
  <si>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</si>
  <si>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</si>
  <si>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</si>
  <si>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</si>
  <si>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</si>
  <si>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</si>
  <si>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</si>
  <si>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</si>
  <si>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</si>
  <si>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</si>
  <si>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</si>
  <si>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</si>
  <si>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</si>
  <si>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</si>
  <si>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</si>
  <si>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</si>
  <si>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</si>
  <si>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</si>
  <si>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</si>
  <si>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</si>
  <si>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</si>
  <si>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</si>
  <si>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</si>
  <si>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</si>
  <si>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</si>
  <si>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</si>
  <si>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</si>
  <si>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</si>
  <si>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</si>
  <si>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</si>
  <si>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</si>
  <si>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</si>
  <si>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</si>
  <si>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</si>
  <si>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</si>
  <si>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</si>
  <si>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</si>
  <si>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</si>
  <si>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</si>
  <si>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</si>
  <si>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</si>
  <si>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</si>
  <si>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</si>
  <si>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</si>
  <si>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</si>
  <si>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</si>
  <si>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</si>
  <si>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</si>
  <si>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</si>
  <si>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</si>
  <si>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</si>
  <si>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</si>
  <si>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</si>
  <si>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</si>
  <si>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</si>
  <si>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</si>
  <si>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</si>
  <si>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</si>
  <si>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</si>
  <si>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</si>
  <si>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</si>
  <si>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</si>
  <si>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</si>
  <si>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</si>
  <si>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</si>
  <si>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</si>
  <si>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</si>
  <si>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</si>
  <si>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</si>
  <si>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</si>
  <si>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</si>
  <si>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</si>
  <si>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</si>
  <si>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</si>
  <si>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</si>
  <si>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</si>
  <si>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</si>
  <si>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</si>
  <si>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</si>
  <si>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</si>
  <si>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</si>
  <si>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</si>
  <si>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</si>
  <si>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</si>
  <si>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</si>
  <si>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</si>
  <si>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</si>
  <si>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</si>
  <si>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</si>
  <si>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</si>
  <si>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</si>
  <si>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</si>
  <si>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</si>
  <si>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</si>
  <si>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</si>
  <si>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</si>
  <si>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</si>
  <si>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</si>
  <si>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</si>
  <si>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</si>
  <si>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</si>
  <si>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</si>
  <si>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</si>
  <si>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</si>
  <si>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</si>
  <si>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</si>
  <si>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</si>
  <si>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</si>
  <si>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</si>
  <si>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</si>
  <si>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</si>
  <si>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</si>
  <si>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</si>
  <si>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</si>
  <si>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</si>
  <si>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</si>
  <si>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</si>
  <si>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</si>
  <si>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</si>
  <si>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</si>
  <si>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</si>
  <si>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</si>
  <si>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</si>
  <si>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</si>
  <si>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</si>
  <si>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</si>
  <si>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</si>
  <si>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</si>
  <si>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</si>
  <si>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</si>
  <si>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</si>
  <si>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</si>
  <si>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</si>
  <si>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</si>
  <si>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</si>
  <si>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</si>
  <si>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</si>
  <si>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</si>
  <si>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</si>
  <si>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</si>
  <si>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</si>
  <si>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</si>
  <si>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</si>
  <si>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</si>
  <si>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</si>
  <si>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</si>
  <si>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</si>
  <si>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</si>
  <si>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</si>
  <si>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</si>
  <si>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</si>
  <si>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</si>
  <si>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</si>
  <si>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</si>
  <si>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</si>
  <si>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</si>
  <si>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</si>
  <si>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</si>
  <si>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</si>
  <si>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</si>
  <si>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</si>
  <si>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</si>
  <si>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</si>
  <si>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</si>
  <si>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</si>
  <si>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</si>
  <si>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</si>
  <si>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</si>
  <si>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</si>
  <si>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</si>
  <si>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</si>
  <si>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</si>
  <si>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</si>
  <si>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</si>
  <si>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</si>
  <si>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</si>
  <si>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</si>
  <si>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</si>
  <si>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</si>
  <si>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</si>
  <si>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</si>
  <si>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</si>
  <si>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</si>
  <si>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</si>
  <si>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</si>
  <si>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</si>
  <si>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</si>
  <si>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</si>
  <si>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</si>
  <si>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</si>
  <si>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</si>
  <si>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</si>
  <si>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</si>
  <si>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</si>
  <si>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</si>
  <si>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</si>
  <si>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</si>
  <si>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</si>
  <si>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</si>
  <si>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</si>
  <si>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</si>
  <si>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</si>
  <si>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</si>
  <si>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</si>
  <si>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</si>
  <si>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</si>
  <si>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</si>
  <si>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</si>
  <si>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</si>
  <si>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</si>
  <si>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</si>
  <si>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</si>
  <si>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</si>
  <si>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</si>
  <si>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</si>
  <si>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</si>
  <si>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</si>
  <si>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</si>
  <si>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</si>
  <si>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</si>
  <si>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</si>
  <si>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</si>
  <si>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</si>
  <si>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</si>
  <si>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</si>
  <si>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</si>
  <si>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</si>
  <si>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</si>
  <si>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</si>
  <si>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</si>
  <si>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</si>
  <si>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</si>
  <si>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</si>
  <si>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</si>
  <si>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</si>
  <si>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</si>
  <si>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</si>
  <si>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</si>
  <si>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</si>
  <si>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</si>
  <si>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</si>
  <si>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</si>
  <si>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</si>
  <si>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</si>
  <si>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</si>
  <si>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</si>
  <si>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</si>
  <si>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</si>
  <si>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</si>
  <si>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</si>
  <si>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</si>
  <si>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</si>
  <si>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</si>
  <si>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</si>
  <si>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</si>
  <si>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</si>
  <si>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</si>
  <si>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</si>
  <si>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</si>
  <si>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</si>
  <si>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</si>
  <si>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</si>
  <si>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</si>
  <si>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</si>
  <si>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</si>
  <si>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</si>
  <si>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</si>
  <si>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</si>
  <si>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</si>
  <si>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</si>
  <si>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</si>
  <si>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</si>
  <si>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</si>
  <si>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</si>
  <si>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</si>
  <si>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</si>
  <si>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</si>
  <si>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</si>
  <si>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</si>
  <si>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</si>
  <si>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</si>
  <si>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</si>
  <si>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</si>
  <si>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</si>
  <si>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</si>
  <si>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</si>
  <si>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</si>
  <si>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</si>
  <si>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</si>
  <si>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</si>
  <si>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</si>
  <si>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</si>
  <si>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</si>
  <si>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</si>
  <si>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</si>
  <si>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</si>
  <si>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</si>
  <si>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</si>
  <si>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</si>
  <si>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</si>
  <si>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</si>
  <si>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</si>
  <si>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</si>
  <si>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</si>
  <si>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</si>
  <si>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</si>
  <si>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</si>
  <si>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</si>
  <si>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</si>
  <si>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</si>
  <si>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</si>
  <si>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</si>
  <si>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</si>
  <si>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</si>
  <si>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</si>
  <si>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</si>
  <si>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</si>
  <si>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</si>
  <si>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</si>
  <si>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</si>
  <si>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</si>
  <si>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</si>
  <si>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</si>
  <si>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</si>
  <si>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</si>
  <si>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</si>
  <si>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</si>
  <si>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</si>
  <si>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</si>
  <si>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</si>
  <si>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</si>
  <si>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</si>
  <si>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</si>
  <si>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</si>
  <si>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</si>
  <si>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</si>
  <si>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</si>
  <si>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</si>
  <si>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</si>
  <si>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</si>
  <si>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</si>
  <si>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</si>
  <si>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</si>
  <si>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</si>
  <si>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</si>
  <si>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</si>
  <si>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</si>
  <si>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</si>
  <si>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</si>
  <si>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</si>
  <si>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</si>
  <si>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</si>
  <si>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</si>
  <si>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</si>
  <si>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</si>
  <si>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</si>
  <si>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</si>
  <si>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</si>
  <si>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</si>
  <si>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</si>
  <si>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</si>
  <si>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</si>
  <si>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</si>
  <si>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</si>
  <si>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</si>
  <si>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</si>
  <si>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</si>
  <si>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</si>
  <si>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</si>
  <si>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</si>
  <si>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</si>
  <si>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</si>
  <si>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</si>
  <si>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</si>
  <si>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</si>
  <si>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</si>
  <si>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</si>
  <si>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</si>
  <si>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</si>
  <si>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</si>
  <si>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</si>
  <si>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</si>
  <si>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</si>
  <si>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</si>
  <si>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</si>
  <si>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</si>
  <si>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</si>
  <si>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</si>
  <si>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</si>
  <si>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</si>
  <si>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</si>
  <si>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</si>
  <si>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</si>
  <si>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</si>
  <si>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</si>
  <si>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</si>
  <si>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</si>
  <si>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</si>
  <si>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</si>
  <si>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</si>
  <si>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</si>
  <si>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</si>
  <si>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</si>
  <si>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</si>
  <si>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</si>
  <si>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</si>
  <si>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</si>
  <si>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</si>
  <si>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</si>
  <si>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</si>
  <si>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</si>
  <si>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</si>
  <si>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</si>
  <si>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</si>
  <si>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</si>
  <si>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</si>
  <si>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</si>
  <si>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</si>
  <si>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</si>
  <si>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</si>
  <si>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</si>
  <si>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</si>
  <si>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</si>
  <si>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</si>
  <si>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</si>
  <si>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</si>
  <si>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</si>
  <si>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</si>
  <si>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</si>
  <si>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</si>
  <si>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</si>
  <si>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</si>
  <si>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</si>
  <si>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</si>
  <si>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</si>
  <si>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</si>
  <si>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</si>
  <si>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</si>
  <si>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</si>
  <si>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</si>
  <si>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</si>
  <si>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</si>
  <si>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</si>
  <si>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</si>
  <si>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</si>
  <si>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</si>
  <si>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</si>
  <si>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</si>
  <si>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</si>
  <si>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</si>
  <si>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</si>
  <si>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</si>
  <si>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</si>
  <si>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</si>
  <si>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</si>
  <si>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</si>
  <si>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</si>
  <si>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</si>
  <si>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</si>
  <si>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</si>
  <si>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</si>
  <si>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</si>
  <si>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</si>
  <si>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</si>
  <si>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</si>
  <si>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</si>
  <si>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</si>
  <si>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</si>
  <si>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</si>
  <si>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</si>
  <si>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</si>
  <si>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</si>
  <si>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</si>
  <si>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</si>
  <si>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</si>
  <si>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</si>
  <si>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</si>
  <si>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</si>
  <si>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</si>
  <si>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</si>
  <si>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</si>
  <si>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</si>
  <si>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</si>
  <si>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</si>
  <si>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</si>
  <si>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</si>
  <si>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</si>
  <si>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</si>
  <si>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</si>
  <si>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</si>
  <si>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</si>
  <si>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</si>
  <si>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</si>
  <si>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</si>
  <si>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</si>
  <si>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</si>
  <si>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</si>
  <si>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</si>
  <si>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</si>
  <si>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</si>
  <si>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</si>
  <si>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</si>
  <si>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</si>
  <si>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</si>
  <si>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</si>
  <si>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</si>
  <si>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</si>
  <si>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</si>
  <si>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</si>
  <si>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</si>
  <si>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</si>
  <si>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</si>
  <si>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</si>
  <si>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</si>
  <si>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</si>
  <si>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</si>
  <si>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</si>
  <si>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</si>
  <si>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</si>
  <si>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</si>
  <si>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</si>
  <si>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</si>
  <si>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</si>
  <si>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</si>
  <si>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</si>
  <si>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</si>
  <si>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</si>
  <si>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</si>
  <si>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</si>
  <si>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</si>
  <si>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</si>
  <si>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</si>
  <si>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</si>
  <si>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</si>
  <si>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</si>
  <si>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</si>
  <si>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</si>
  <si>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</si>
  <si>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</si>
  <si>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</si>
  <si>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</si>
  <si>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</si>
  <si>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</si>
  <si>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</si>
  <si>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</si>
  <si>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</si>
  <si>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</si>
  <si>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</si>
  <si>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</si>
  <si>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</si>
  <si>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</si>
  <si>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</si>
  <si>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</si>
  <si>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</si>
  <si>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</si>
  <si>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</si>
  <si>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</si>
  <si>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</si>
  <si>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</si>
  <si>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</si>
  <si>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</si>
  <si>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</si>
  <si>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</si>
  <si>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</si>
  <si>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</si>
  <si>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</si>
  <si>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</si>
  <si>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</si>
  <si>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</si>
  <si>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</si>
  <si>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</si>
  <si>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</si>
  <si>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</si>
  <si>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</si>
  <si>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</si>
  <si>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</si>
  <si>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</si>
  <si>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</si>
  <si>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</si>
  <si>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</si>
  <si>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</si>
  <si>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</si>
  <si>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</si>
  <si>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</si>
  <si>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</si>
  <si>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</si>
  <si>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</si>
  <si>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</si>
  <si>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</si>
  <si>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</si>
  <si>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</si>
  <si>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</si>
  <si>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</si>
  <si>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</si>
  <si>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</si>
  <si>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</si>
  <si>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</si>
  <si>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</si>
  <si>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</si>
  <si>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</si>
  <si>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</si>
  <si>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</si>
  <si>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</si>
  <si>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</si>
  <si>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</si>
  <si>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</si>
  <si>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</si>
  <si>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</si>
  <si>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</si>
  <si>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</si>
  <si>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</si>
  <si>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</si>
  <si>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</si>
  <si>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</si>
  <si>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</si>
  <si>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</si>
  <si>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</si>
  <si>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</si>
  <si>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</si>
  <si>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</si>
  <si>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</si>
  <si>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</si>
  <si>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</si>
  <si>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</si>
  <si>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</si>
  <si>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</si>
  <si>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</si>
  <si>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</si>
  <si>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</si>
  <si>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</si>
  <si>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</si>
  <si>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</si>
  <si>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</si>
  <si>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</si>
  <si>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</si>
  <si>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</si>
  <si>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</si>
  <si>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</si>
  <si>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</si>
  <si>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</si>
  <si>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</si>
  <si>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</si>
  <si>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</si>
  <si>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</si>
  <si>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</si>
  <si>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</si>
  <si>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</si>
  <si>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</si>
  <si>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</si>
  <si>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</si>
  <si>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</si>
  <si>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</si>
  <si>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</si>
  <si>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</si>
  <si>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</si>
  <si>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</si>
  <si>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</si>
  <si>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</si>
  <si>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</si>
  <si>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</si>
  <si>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</si>
  <si>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</si>
  <si>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</si>
  <si>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</si>
  <si>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</si>
  <si>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</si>
  <si>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</si>
  <si>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</si>
  <si>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</si>
  <si>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</si>
  <si>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</si>
  <si>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</si>
  <si>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</si>
  <si>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</si>
  <si>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</si>
  <si>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</si>
  <si>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</si>
  <si>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</si>
  <si>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</si>
  <si>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</si>
  <si>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</si>
  <si>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</si>
  <si>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</si>
  <si>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</si>
  <si>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</si>
  <si>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</si>
  <si>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</si>
  <si>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</si>
  <si>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</si>
  <si>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</si>
  <si>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</si>
  <si>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</si>
  <si>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</si>
  <si>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</si>
  <si>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</si>
  <si>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CADIZ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</si>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</sst>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s8mGEfYNdSaqk6MXD0GkVqzrZITN3Ngt2aOByO2PPvVgHgUYS+ztyvkxn6+4RjaH+OsnFkXJqeVN4Wf3+4m5A==" saltValue="5wRHSvVfQ8su+IWYs2IX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21.950892857142858</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99</v>
      </c>
      <c r="D10" s="225">
        <f>IF(ISNUMBER(Datos!I10),Datos!I10," - ")</f>
        <v>99</v>
      </c>
      <c r="E10" s="226">
        <f>IF(ISNUMBER(Datos!J10),Datos!J10," - ")</f>
        <v>27</v>
      </c>
      <c r="F10" s="226">
        <f>IF(ISNUMBER(Datos!K10),Datos!K10," - ")</f>
        <v>32</v>
      </c>
      <c r="G10" s="1034" t="str">
        <f>IF(Datos!E10&lt;&gt;"",Datos!E10,Datos!D10)</f>
        <v>37</v>
      </c>
      <c r="H10" s="227">
        <f>IF(ISNUMBER(Datos!L10),Datos!L10," - ")</f>
        <v>94</v>
      </c>
      <c r="I10" s="1044" t="str">
        <f>IF(ISNUMBER(Datos!AS10/Datos!BM10),Datos!AS10/Datos!BM10," - ")</f>
        <v xml:space="preserve"> - </v>
      </c>
      <c r="J10" s="1045">
        <f>IF(ISNUMBER(Datos!BY10/Datos!CN10),Datos!BY10/Datos!CN10," - ")</f>
        <v>0</v>
      </c>
      <c r="K10" s="230">
        <f t="shared" ref="K10:K12" si="1">IF(ISNUMBER((E10-F10)/C10),(E10-F10)/C10," - ")</f>
        <v>-5.0505050505050504E-2</v>
      </c>
      <c r="L10" s="1025">
        <f>IF(ISNUMBER(NºAsuntos!I10/NºAsuntos!G10),(NºAsuntos!I10/NºAsuntos!G10)*11," - ")</f>
        <v>32.3125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99</v>
      </c>
      <c r="D13" s="1049">
        <f>SUBTOTAL(9,D9:D12)</f>
        <v>99</v>
      </c>
      <c r="E13" s="1050">
        <f>SUBTOTAL(9,E9:E12)</f>
        <v>27</v>
      </c>
      <c r="F13" s="1051">
        <f>SUBTOTAL(9,F9:F12)</f>
        <v>32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1148</v>
      </c>
      <c r="D15" s="225">
        <f>IF(ISNUMBER(IF(D_I="SI",Datos!I15,Datos!I15+Datos!AC15)),IF(D_I="SI",Datos!I15,Datos!I15+Datos!AC15)," - ")</f>
        <v>1142</v>
      </c>
      <c r="E15" s="226">
        <f>IF(ISNUMBER(IF(D_I="SI",Datos!J15,Datos!J15+Datos!AD15)),IF(D_I="SI",Datos!J15,Datos!J15+Datos!AD15)," - ")</f>
        <v>1486</v>
      </c>
      <c r="F15" s="226">
        <f>IF(ISNUMBER(IF(D_I="SI",Datos!K15,Datos!K15+Datos!AE15)),IF(D_I="SI",Datos!K15,Datos!K15+Datos!AE15)," - ")</f>
        <v>1563</v>
      </c>
      <c r="G15" s="1034" t="str">
        <f>IF(Datos!E15&lt;&gt;"",Datos!E15,Datos!D15)</f>
        <v>03</v>
      </c>
      <c r="H15" s="227">
        <f>IF(ISNUMBER(IF(D_I="SI",Datos!L15,Datos!L15+Datos!AF15)),IF(D_I="SI",Datos!L15,Datos!L15+Datos!AF15)," - ")</f>
        <v>1071</v>
      </c>
      <c r="I15" s="1044" t="str">
        <f>IF(ISNUMBER(Datos!AS15/Datos!BM15),Datos!AS15/Datos!BM15," - ")</f>
        <v xml:space="preserve"> - </v>
      </c>
      <c r="J15" s="1045">
        <f>IF(ISNUMBER(Datos!BY15/Datos!CN15),Datos!BY15/Datos!CN15," - ")</f>
        <v>0</v>
      </c>
      <c r="K15" s="230">
        <f t="shared" ref="K15:K17" si="3">IF(ISNUMBER((E15-F15)/C15),(E15-F15)/C15," - ")</f>
        <v>-6.7073170731707321E-2</v>
      </c>
      <c r="L15" s="1025">
        <f>IF(ISNUMBER(NºAsuntos!I15/NºAsuntos!G15),(NºAsuntos!I15/NºAsuntos!G15)*11," - ")</f>
        <v>7.5374280230326303</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251</v>
      </c>
      <c r="D17" s="225">
        <f>IF(ISNUMBER(IF(D_I="SI",Datos!I17,Datos!I17+Datos!AC17)),IF(D_I="SI",Datos!I17,Datos!I17+Datos!AC17)," - ")</f>
        <v>250</v>
      </c>
      <c r="E17" s="226">
        <f>IF(ISNUMBER(IF(D_I="SI",Datos!J17,Datos!J17+Datos!AD17)),IF(D_I="SI",Datos!J17,Datos!J17+Datos!AD17)," - ")</f>
        <v>796</v>
      </c>
      <c r="F17" s="226">
        <f>IF(ISNUMBER(IF(D_I="SI",Datos!K17,Datos!K17+Datos!AE17)),IF(D_I="SI",Datos!K17,Datos!K17+Datos!AE17)," - ")</f>
        <v>786</v>
      </c>
      <c r="G17" s="1034" t="str">
        <f>IF(Datos!E17&lt;&gt;"",Datos!E17,Datos!D17)</f>
        <v>37</v>
      </c>
      <c r="H17" s="227">
        <f>IF(ISNUMBER(IF(D_I="SI",Datos!L17,Datos!L17+Datos!AF17)),IF(D_I="SI",Datos!L17,Datos!L17+Datos!AF17)," - ")</f>
        <v>261</v>
      </c>
      <c r="I17" s="1044" t="str">
        <f>IF(ISNUMBER(Datos!AS17/Datos!BM17),Datos!AS17/Datos!BM17," - ")</f>
        <v xml:space="preserve"> - </v>
      </c>
      <c r="J17" s="1045" t="str">
        <f>IF(ISNUMBER((Datos!BY17+Datos!BZ17)/Datos!CN17),(Datos!BY17+Datos!BZ17)/Datos!CN17," - ")</f>
        <v xml:space="preserve"> - </v>
      </c>
      <c r="K17" s="230">
        <f t="shared" si="3"/>
        <v>3.9840637450199202E-2</v>
      </c>
      <c r="L17" s="1025">
        <f>IF(ISNUMBER(NºAsuntos!I17/NºAsuntos!G17),(NºAsuntos!I17/NºAsuntos!G17)*11," - ")</f>
        <v>3.6526717557251906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1399</v>
      </c>
      <c r="D18" s="1049">
        <f>SUBTOTAL(9,D15:D17)</f>
        <v>1392</v>
      </c>
      <c r="E18" s="1050">
        <f>SUBTOTAL(9,E15:E17)</f>
        <v>2282</v>
      </c>
      <c r="F18" s="1050">
        <f>SUBTOTAL(9,F15:F17)</f>
        <v>2349</v>
      </c>
      <c r="G18" s="1052" t="str">
        <f ca="1">INDIRECT(CONCATENATE("G",ROW()-1))</f>
        <v>37</v>
      </c>
      <c r="H18" s="1053">
        <f ca="1">SUMIF(G$14:G17,G18,H$14:H17)</f>
        <v>261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1498</v>
      </c>
      <c r="D19" s="1071">
        <f>SUBTOTAL(9,D9:D18)</f>
        <v>1491</v>
      </c>
      <c r="E19" s="1072">
        <f>SUBTOTAL(9,E9:E18)</f>
        <v>2309</v>
      </c>
      <c r="F19" s="1072">
        <f>SUBTOTAL(9,F9:F18)</f>
        <v>2381</v>
      </c>
      <c r="G19" s="1073"/>
      <c r="H19" s="1074">
        <f ca="1">SUMIF(B9:B18,"TOTAL",H9:H18)</f>
        <v>261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cXk78sdrAScfwOrPQtLIwILkw0oUmJU6lW7eSOzoxyThflImbHqu2oGEk54c9QWTAS0jT/sE/P7k/3YONzISTA==" saltValue="ELvMsFX8wfwZQGL9E/95q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3UqV6ZoZ/+PKA4aJRNJ8cRswAlDA2QBZKNC/IvfqjfP4bX7dSOx5RKG6pPwORIodOzJrpaHtIcAc0jZbvIaoMQ==" saltValue="F6jQJvD69gabkA31LZmH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8143</v>
      </c>
      <c r="J9" s="181">
        <v>1483</v>
      </c>
      <c r="K9" s="181">
        <v>3219</v>
      </c>
      <c r="L9" s="181">
        <v>6407</v>
      </c>
      <c r="M9" s="181">
        <v>1330</v>
      </c>
      <c r="N9" s="181">
        <v>1220</v>
      </c>
      <c r="O9" s="181">
        <v>882</v>
      </c>
      <c r="P9" s="181">
        <v>804</v>
      </c>
      <c r="Q9" s="181">
        <v>386</v>
      </c>
      <c r="R9" s="181">
        <v>9875</v>
      </c>
      <c r="S9" s="181">
        <v>11515</v>
      </c>
      <c r="T9" s="181">
        <v>2016</v>
      </c>
      <c r="U9" s="181">
        <v>3121</v>
      </c>
      <c r="V9" s="181">
        <v>10410</v>
      </c>
      <c r="W9" s="181">
        <v>1276</v>
      </c>
      <c r="X9" s="188">
        <v>1052</v>
      </c>
      <c r="Y9" s="191">
        <v>269</v>
      </c>
      <c r="Z9" s="181">
        <v>170</v>
      </c>
      <c r="AA9" s="181">
        <v>141</v>
      </c>
      <c r="AB9" s="181">
        <v>298</v>
      </c>
      <c r="AC9" s="181">
        <v>0</v>
      </c>
      <c r="AD9" s="181">
        <v>0</v>
      </c>
      <c r="AE9" s="181">
        <v>0</v>
      </c>
      <c r="AF9" s="188">
        <v>0</v>
      </c>
      <c r="AG9" s="191">
        <v>316</v>
      </c>
      <c r="AH9" s="181">
        <v>148</v>
      </c>
      <c r="AI9" s="181">
        <v>142</v>
      </c>
      <c r="AJ9" s="192">
        <v>322</v>
      </c>
      <c r="AK9" s="180">
        <v>0</v>
      </c>
      <c r="AL9" s="181">
        <v>0</v>
      </c>
      <c r="AM9" s="181">
        <v>0</v>
      </c>
      <c r="AN9" s="188">
        <v>0</v>
      </c>
      <c r="AO9" s="258">
        <v>6</v>
      </c>
      <c r="AP9" s="154">
        <v>6</v>
      </c>
      <c r="AQ9" s="154">
        <v>6</v>
      </c>
      <c r="AR9" s="193">
        <v>6</v>
      </c>
      <c r="AS9" s="338" t="s">
        <v>791</v>
      </c>
      <c r="AT9" s="195"/>
      <c r="AU9" s="194"/>
      <c r="AV9" s="195"/>
      <c r="AW9" s="194"/>
      <c r="AX9" s="195"/>
      <c r="AY9" s="123">
        <f>IF(ISNUMBER(IF(J_V="SI",S9,S9+AG9)),IF(J_V="SI",S9,S9+AG9)," - ")</f>
        <v>11831</v>
      </c>
      <c r="AZ9" s="123">
        <f>IF(ISNUMBER(IF(J_V="SI",T9,T9+AH9)),IF(J_V="SI",T9,T9+AH9)," - ")</f>
        <v>2164</v>
      </c>
      <c r="BA9" s="124">
        <f>IF(ISNUMBER(IF(J_V="SI",U9,U9+AI9)),IF(J_V="SI",U9,U9+AI9)," - ")</f>
        <v>3263</v>
      </c>
      <c r="BB9" s="124">
        <f>IF(ISNUMBER(IF(J_V="SI",V9,V9+AJ9)),IF(J_V="SI",V9,V9+AJ9)," - ")</f>
        <v>10732</v>
      </c>
      <c r="BC9" s="125">
        <f>IF(ISNUMBER(X9),X9," - ")</f>
        <v>1052</v>
      </c>
      <c r="BD9" s="126">
        <f>IF(ISNUMBER(BA9/AZ9),BA9/AZ9," - ")</f>
        <v>1.5078558225508318</v>
      </c>
      <c r="BE9" s="127">
        <f>IF(ISNUMBER(BB9/BA9),BB9/BA9, " - ")</f>
        <v>3.2889978547349066</v>
      </c>
      <c r="BF9" s="127">
        <f>IF(ISNUMBER(BC9/BA9),BC9/BA9, " - ")</f>
        <v>0.32240269690468892</v>
      </c>
      <c r="BG9" s="196">
        <f>IF(ISNUMBER((AY9+AZ9)/BA9),(AY9+AZ9)/BA9," - ")</f>
        <v>4.2889978547349061</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99</v>
      </c>
      <c r="J10" s="181">
        <v>27</v>
      </c>
      <c r="K10" s="181">
        <v>32</v>
      </c>
      <c r="L10" s="181">
        <v>94</v>
      </c>
      <c r="M10" s="181">
        <v>15</v>
      </c>
      <c r="N10" s="181">
        <v>13</v>
      </c>
      <c r="O10" s="181">
        <v>12</v>
      </c>
      <c r="P10" s="181">
        <v>5</v>
      </c>
      <c r="Q10" s="181">
        <v>8</v>
      </c>
      <c r="R10" s="181">
        <v>52</v>
      </c>
      <c r="S10" s="181">
        <v>66</v>
      </c>
      <c r="T10" s="181">
        <v>38</v>
      </c>
      <c r="U10" s="181">
        <v>41</v>
      </c>
      <c r="V10" s="181">
        <v>63</v>
      </c>
      <c r="W10" s="181">
        <v>15</v>
      </c>
      <c r="X10" s="188">
        <v>20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66</v>
      </c>
      <c r="AZ10" s="129">
        <f t="shared" si="0"/>
        <v>38</v>
      </c>
      <c r="BA10" s="129">
        <f t="shared" si="0"/>
        <v>41</v>
      </c>
      <c r="BB10" s="129">
        <f t="shared" si="0"/>
        <v>63</v>
      </c>
      <c r="BC10" s="125">
        <f t="shared" si="0"/>
        <v>15</v>
      </c>
      <c r="BD10" s="126">
        <f>IF(ISNUMBER(BA10/AZ10),BA10/AZ10," - ")</f>
        <v>1.0789473684210527</v>
      </c>
      <c r="BE10" s="127">
        <f>IF(ISNUMBER(BB10/BA10),BB10/BA10, " - ")</f>
        <v>1.5365853658536586</v>
      </c>
      <c r="BF10" s="127">
        <f>IF(ISNUMBER(BC10/BA10),BC10/BA10, " - ")</f>
        <v>0.36585365853658536</v>
      </c>
      <c r="BG10" s="196">
        <f>IF(ISNUMBER((AY10+AZ10)/BA10),(AY10+AZ10)/BA10," - ")</f>
        <v>2.5365853658536586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8242</v>
      </c>
      <c r="J13" s="184">
        <f t="shared" si="6"/>
        <v>1510</v>
      </c>
      <c r="K13" s="184">
        <f t="shared" si="6"/>
        <v>3251</v>
      </c>
      <c r="L13" s="184">
        <f t="shared" si="6"/>
        <v>6501</v>
      </c>
      <c r="M13" s="184">
        <f t="shared" si="6"/>
        <v>1345</v>
      </c>
      <c r="N13" s="184">
        <f t="shared" si="6"/>
        <v>1233</v>
      </c>
      <c r="O13" s="184">
        <f t="shared" si="6"/>
        <v>894</v>
      </c>
      <c r="P13" s="184">
        <f t="shared" si="6"/>
        <v>809</v>
      </c>
      <c r="Q13" s="184">
        <f t="shared" si="6"/>
        <v>394</v>
      </c>
      <c r="R13" s="184">
        <f t="shared" si="6"/>
        <v>9927</v>
      </c>
      <c r="S13" s="184">
        <f t="shared" si="6"/>
        <v>11581</v>
      </c>
      <c r="T13" s="184">
        <f t="shared" si="6"/>
        <v>2054</v>
      </c>
      <c r="U13" s="184">
        <f t="shared" si="6"/>
        <v>3162</v>
      </c>
      <c r="V13" s="184">
        <f t="shared" si="6"/>
        <v>10473</v>
      </c>
      <c r="W13" s="184">
        <f t="shared" si="6"/>
        <v>1291</v>
      </c>
      <c r="X13" s="184">
        <f t="shared" si="6"/>
        <v>1072</v>
      </c>
      <c r="Y13" s="184">
        <f t="shared" si="6"/>
        <v>269</v>
      </c>
      <c r="Z13" s="184">
        <f t="shared" si="6"/>
        <v>170</v>
      </c>
      <c r="AA13" s="184">
        <f t="shared" si="6"/>
        <v>141</v>
      </c>
      <c r="AB13" s="184">
        <f t="shared" si="6"/>
        <v>298</v>
      </c>
      <c r="AC13" s="184">
        <f t="shared" si="6"/>
        <v>0</v>
      </c>
      <c r="AD13" s="184">
        <f t="shared" si="6"/>
        <v>0</v>
      </c>
      <c r="AE13" s="184">
        <f t="shared" si="6"/>
        <v>0</v>
      </c>
      <c r="AF13" s="184">
        <f>SUBTOTAL(9,AF9:AF12)</f>
        <v>0</v>
      </c>
      <c r="AG13" s="184">
        <f t="shared" ref="AG13:AT13" si="7">SUBTOTAL(9,AG8:AG12)</f>
        <v>316</v>
      </c>
      <c r="AH13" s="184">
        <f t="shared" si="7"/>
        <v>148</v>
      </c>
      <c r="AI13" s="184">
        <f t="shared" si="7"/>
        <v>142</v>
      </c>
      <c r="AJ13" s="184">
        <f t="shared" si="7"/>
        <v>322</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11897</v>
      </c>
      <c r="AZ13" s="184">
        <f>SUBTOTAL(9,AZ8:AZ12)</f>
        <v>2202</v>
      </c>
      <c r="BA13" s="184">
        <f>SUBTOTAL(9,BA8:BA12)</f>
        <v>3304</v>
      </c>
      <c r="BB13" s="184">
        <f>SUBTOTAL(9,BB8:BB12)</f>
        <v>10795</v>
      </c>
      <c r="BC13" s="184">
        <f>SUBTOTAL(9,BC8:BC12)</f>
        <v>1067</v>
      </c>
      <c r="BD13" s="205">
        <f>IF(ISNUMBER(BA13/AZ13),BA13/AZ13," - ")</f>
        <v>1.5004541326067211</v>
      </c>
      <c r="BE13" s="206">
        <f>IF(ISNUMBER(BB13/BA13),BB13/BA13, " - ")</f>
        <v>3.2672518159806296</v>
      </c>
      <c r="BF13" s="206">
        <f>IF(ISNUMBER(BC13/BA13),BC13/BA13, " - ")</f>
        <v>0.32294188861985473</v>
      </c>
      <c r="BG13" s="207">
        <f>IF(ISNUMBER((AY13+AZ13)/BA13),(AY13+AZ13)/BA13," - ")</f>
        <v>4.2672518159806296</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1142</v>
      </c>
      <c r="J15" s="183">
        <v>1486</v>
      </c>
      <c r="K15" s="183">
        <v>1563</v>
      </c>
      <c r="L15" s="183">
        <v>1071</v>
      </c>
      <c r="M15" s="183">
        <v>241</v>
      </c>
      <c r="N15" s="183">
        <v>733</v>
      </c>
      <c r="O15" s="181">
        <v>76</v>
      </c>
      <c r="P15" s="183">
        <v>103</v>
      </c>
      <c r="Q15" s="183">
        <v>117</v>
      </c>
      <c r="R15" s="183">
        <v>233</v>
      </c>
      <c r="S15" s="183">
        <v>1220</v>
      </c>
      <c r="T15" s="183">
        <v>1675</v>
      </c>
      <c r="U15" s="183">
        <v>1807</v>
      </c>
      <c r="V15" s="183">
        <v>1094</v>
      </c>
      <c r="W15" s="183">
        <v>331</v>
      </c>
      <c r="X15" s="189">
        <v>1052</v>
      </c>
      <c r="Y15" s="202">
        <v>0</v>
      </c>
      <c r="Z15" s="183">
        <v>0</v>
      </c>
      <c r="AA15" s="183">
        <v>0</v>
      </c>
      <c r="AB15" s="183">
        <v>0</v>
      </c>
      <c r="AC15" s="183">
        <v>13</v>
      </c>
      <c r="AD15" s="183">
        <v>83</v>
      </c>
      <c r="AE15" s="183">
        <v>95</v>
      </c>
      <c r="AF15" s="189">
        <v>1</v>
      </c>
      <c r="AG15" s="202">
        <v>0</v>
      </c>
      <c r="AH15" s="183">
        <v>0</v>
      </c>
      <c r="AI15" s="183">
        <v>0</v>
      </c>
      <c r="AJ15" s="203">
        <v>0</v>
      </c>
      <c r="AK15" s="182">
        <v>0</v>
      </c>
      <c r="AL15" s="183">
        <v>82</v>
      </c>
      <c r="AM15" s="183">
        <v>82</v>
      </c>
      <c r="AN15" s="189">
        <v>0</v>
      </c>
      <c r="AO15" s="259">
        <v>4</v>
      </c>
      <c r="AP15" s="155">
        <v>4</v>
      </c>
      <c r="AQ15" s="155">
        <v>4</v>
      </c>
      <c r="AR15" s="155">
        <v>4</v>
      </c>
      <c r="AS15" s="340" t="s">
        <v>522</v>
      </c>
      <c r="AT15" s="203" t="s">
        <v>326</v>
      </c>
      <c r="AU15" s="202"/>
      <c r="AV15" s="203"/>
      <c r="AW15" s="202"/>
      <c r="AX15" s="203"/>
      <c r="AY15" s="128">
        <f t="shared" ref="AY15:BB16" si="9">IF(ISNUMBER(IF(D_I="SI",S15,S15+AK15)),IF(D_I="SI",S15,S15+AK15)," - ")</f>
        <v>1220</v>
      </c>
      <c r="AZ15" s="129">
        <f t="shared" si="9"/>
        <v>1675</v>
      </c>
      <c r="BA15" s="129">
        <f t="shared" si="9"/>
        <v>1807</v>
      </c>
      <c r="BB15" s="129">
        <f t="shared" si="9"/>
        <v>1094</v>
      </c>
      <c r="BC15" s="125">
        <f>IF(ISNUMBER(W15),W15," - ")</f>
        <v>331</v>
      </c>
      <c r="BD15" s="126">
        <f>IF(ISNUMBER(BA15/AZ15),BA15/AZ15," - ")</f>
        <v>1.0788059701492538</v>
      </c>
      <c r="BE15" s="127">
        <f>IF(ISNUMBER(BB15/BA15),BB15/BA15, " - ")</f>
        <v>0.60542335362479249</v>
      </c>
      <c r="BF15" s="127">
        <f>IF(ISNUMBER(BC15/BA15),BC15/BA15, " - ")</f>
        <v>0.1831765356945213</v>
      </c>
      <c r="BG15" s="196">
        <f t="shared" ref="BG15:BG16" si="10">IF(ISNUMBER((AY15+AZ15)/BA15),(AY15+AZ15)/BA15," - ")</f>
        <v>1.6021029330381849</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250</v>
      </c>
      <c r="J17" s="183">
        <v>796</v>
      </c>
      <c r="K17" s="183">
        <v>786</v>
      </c>
      <c r="L17" s="183">
        <v>261</v>
      </c>
      <c r="M17" s="183">
        <v>67</v>
      </c>
      <c r="N17" s="183">
        <v>561</v>
      </c>
      <c r="O17" s="183">
        <v>3</v>
      </c>
      <c r="P17" s="183">
        <v>8</v>
      </c>
      <c r="Q17" s="183">
        <v>3</v>
      </c>
      <c r="R17" s="183">
        <v>23</v>
      </c>
      <c r="S17" s="183">
        <v>218</v>
      </c>
      <c r="T17" s="183">
        <v>644</v>
      </c>
      <c r="U17" s="183">
        <v>565</v>
      </c>
      <c r="V17" s="183">
        <v>203</v>
      </c>
      <c r="W17" s="183">
        <v>39</v>
      </c>
      <c r="X17" s="189">
        <v>420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218</v>
      </c>
      <c r="AZ17" s="129">
        <f t="shared" si="14"/>
        <v>644</v>
      </c>
      <c r="BA17" s="129">
        <f t="shared" si="14"/>
        <v>565</v>
      </c>
      <c r="BB17" s="129">
        <f t="shared" si="14"/>
        <v>203</v>
      </c>
      <c r="BC17" s="125">
        <f>IF(ISNUMBER(W17),W17," - ")</f>
        <v>39</v>
      </c>
      <c r="BD17" s="126">
        <f>IF(ISNUMBER(BA17/AZ17),BA17/AZ17," - ")</f>
        <v>0.87732919254658381</v>
      </c>
      <c r="BE17" s="127">
        <f>IF(ISNUMBER(BB17/BA17),BB17/BA17, " - ")</f>
        <v>0.35929203539823007</v>
      </c>
      <c r="BF17" s="127">
        <f>IF(ISNUMBER(BC17/BA17),BC17/BA17, " - ")</f>
        <v>6.9026548672566371E-2</v>
      </c>
      <c r="BG17" s="196">
        <f>IF(ISNUMBER((AY17+AZ17)/BA17),(AY17+AZ17)/BA17," - ")</f>
        <v>1.5256637168141594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1392</v>
      </c>
      <c r="J18" s="184">
        <f t="shared" si="15"/>
        <v>2282</v>
      </c>
      <c r="K18" s="184">
        <f t="shared" si="15"/>
        <v>2349</v>
      </c>
      <c r="L18" s="184">
        <f t="shared" si="15"/>
        <v>1332</v>
      </c>
      <c r="M18" s="184">
        <f t="shared" si="15"/>
        <v>308</v>
      </c>
      <c r="N18" s="184">
        <f t="shared" si="15"/>
        <v>1294</v>
      </c>
      <c r="O18" s="184">
        <f t="shared" si="15"/>
        <v>79</v>
      </c>
      <c r="P18" s="184">
        <f t="shared" si="15"/>
        <v>111</v>
      </c>
      <c r="Q18" s="184">
        <f t="shared" si="15"/>
        <v>120</v>
      </c>
      <c r="R18" s="184">
        <f t="shared" si="15"/>
        <v>256</v>
      </c>
      <c r="S18" s="184">
        <f t="shared" si="15"/>
        <v>1438</v>
      </c>
      <c r="T18" s="184">
        <f t="shared" si="15"/>
        <v>2319</v>
      </c>
      <c r="U18" s="184">
        <f t="shared" si="15"/>
        <v>2372</v>
      </c>
      <c r="V18" s="184">
        <f t="shared" si="15"/>
        <v>1297</v>
      </c>
      <c r="W18" s="184">
        <f t="shared" si="15"/>
        <v>370</v>
      </c>
      <c r="X18" s="184">
        <f t="shared" si="15"/>
        <v>1472</v>
      </c>
      <c r="Y18" s="184">
        <f t="shared" si="15"/>
        <v>0</v>
      </c>
      <c r="Z18" s="184">
        <f t="shared" si="15"/>
        <v>0</v>
      </c>
      <c r="AA18" s="184">
        <f t="shared" si="15"/>
        <v>0</v>
      </c>
      <c r="AB18" s="184">
        <f t="shared" si="15"/>
        <v>0</v>
      </c>
      <c r="AC18" s="184">
        <f t="shared" si="15"/>
        <v>13</v>
      </c>
      <c r="AD18" s="184">
        <f t="shared" si="15"/>
        <v>83</v>
      </c>
      <c r="AE18" s="184">
        <f t="shared" si="15"/>
        <v>95</v>
      </c>
      <c r="AF18" s="184">
        <f t="shared" si="15"/>
        <v>1</v>
      </c>
      <c r="AG18" s="184">
        <f t="shared" si="15"/>
        <v>0</v>
      </c>
      <c r="AH18" s="184">
        <f t="shared" si="15"/>
        <v>0</v>
      </c>
      <c r="AI18" s="184">
        <f t="shared" si="15"/>
        <v>0</v>
      </c>
      <c r="AJ18" s="184">
        <f t="shared" si="15"/>
        <v>0</v>
      </c>
      <c r="AK18" s="184">
        <f t="shared" si="15"/>
        <v>0</v>
      </c>
      <c r="AL18" s="184">
        <f t="shared" si="15"/>
        <v>82</v>
      </c>
      <c r="AM18" s="184">
        <f t="shared" si="15"/>
        <v>82</v>
      </c>
      <c r="AN18" s="184">
        <f t="shared" si="15"/>
        <v>0</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1438</v>
      </c>
      <c r="AZ18" s="184">
        <f>SUBTOTAL(9,AZ14:AZ17)</f>
        <v>2319</v>
      </c>
      <c r="BA18" s="184">
        <f>SUBTOTAL(9,BA14:BA17)</f>
        <v>2372</v>
      </c>
      <c r="BB18" s="184">
        <f>SUBTOTAL(9,BB14:BB17)</f>
        <v>1297</v>
      </c>
      <c r="BC18" s="184">
        <f>SUBTOTAL(9,BC14:BC17)</f>
        <v>370</v>
      </c>
      <c r="BD18" s="205">
        <f>IF(ISNUMBER(BA18/AZ18),BA18/AZ18," - ")</f>
        <v>1.0228546787408366</v>
      </c>
      <c r="BE18" s="206">
        <f>IF(ISNUMBER(BB18/BA18),BB18/BA18, " - ")</f>
        <v>0.54679595278246207</v>
      </c>
      <c r="BF18" s="206">
        <f>IF(ISNUMBER(BC18/BA18),BC18/BA18, " - ")</f>
        <v>0.15598650927487354</v>
      </c>
      <c r="BG18" s="207">
        <f>IF(ISNUMBER((AY18+AZ18)/BA18),(AY18+AZ18)/BA18," - ")</f>
        <v>1.5838954468802697</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9634</v>
      </c>
      <c r="J19" s="134">
        <f t="shared" si="18"/>
        <v>3792</v>
      </c>
      <c r="K19" s="134">
        <f t="shared" si="18"/>
        <v>5600</v>
      </c>
      <c r="L19" s="134">
        <f t="shared" si="18"/>
        <v>7833</v>
      </c>
      <c r="M19" s="134">
        <f t="shared" si="18"/>
        <v>1653</v>
      </c>
      <c r="N19" s="134">
        <f t="shared" si="18"/>
        <v>2527</v>
      </c>
      <c r="O19" s="134">
        <f t="shared" si="18"/>
        <v>973</v>
      </c>
      <c r="P19" s="134">
        <f t="shared" si="18"/>
        <v>920</v>
      </c>
      <c r="Q19" s="134">
        <f t="shared" si="18"/>
        <v>514</v>
      </c>
      <c r="R19" s="134">
        <f t="shared" si="18"/>
        <v>10183</v>
      </c>
      <c r="S19" s="134">
        <f t="shared" si="18"/>
        <v>13019</v>
      </c>
      <c r="T19" s="134">
        <f t="shared" si="18"/>
        <v>4373</v>
      </c>
      <c r="U19" s="134">
        <f t="shared" si="18"/>
        <v>5534</v>
      </c>
      <c r="V19" s="134">
        <f t="shared" si="18"/>
        <v>11770</v>
      </c>
      <c r="W19" s="134">
        <f t="shared" si="18"/>
        <v>1661</v>
      </c>
      <c r="X19" s="134">
        <f t="shared" si="18"/>
        <v>2544</v>
      </c>
      <c r="Y19" s="134">
        <f t="shared" si="18"/>
        <v>269</v>
      </c>
      <c r="Z19" s="134">
        <f t="shared" si="18"/>
        <v>170</v>
      </c>
      <c r="AA19" s="134">
        <f t="shared" si="18"/>
        <v>141</v>
      </c>
      <c r="AB19" s="134">
        <f t="shared" si="18"/>
        <v>298</v>
      </c>
      <c r="AC19" s="134">
        <f t="shared" si="18"/>
        <v>13</v>
      </c>
      <c r="AD19" s="134">
        <f t="shared" si="18"/>
        <v>83</v>
      </c>
      <c r="AE19" s="134">
        <f t="shared" si="18"/>
        <v>95</v>
      </c>
      <c r="AF19" s="134">
        <f t="shared" si="18"/>
        <v>1</v>
      </c>
      <c r="AG19" s="134">
        <f t="shared" si="18"/>
        <v>316</v>
      </c>
      <c r="AH19" s="134">
        <f t="shared" si="18"/>
        <v>148</v>
      </c>
      <c r="AI19" s="134">
        <f t="shared" si="18"/>
        <v>142</v>
      </c>
      <c r="AJ19" s="134">
        <f t="shared" si="18"/>
        <v>322</v>
      </c>
      <c r="AK19" s="134">
        <f t="shared" si="18"/>
        <v>0</v>
      </c>
      <c r="AL19" s="134">
        <f t="shared" si="18"/>
        <v>82</v>
      </c>
      <c r="AM19" s="134">
        <f t="shared" si="18"/>
        <v>82</v>
      </c>
      <c r="AN19" s="210">
        <f t="shared" si="18"/>
        <v>0</v>
      </c>
      <c r="AO19" s="211">
        <v>11</v>
      </c>
      <c r="AP19" s="211">
        <v>11</v>
      </c>
      <c r="AQ19" s="211">
        <v>11</v>
      </c>
      <c r="AR19" s="211">
        <v>11</v>
      </c>
      <c r="AS19" s="153">
        <f t="shared" si="18"/>
        <v>0</v>
      </c>
      <c r="AT19" s="153">
        <f t="shared" si="18"/>
        <v>0</v>
      </c>
      <c r="AU19" s="211"/>
      <c r="AV19" s="212"/>
      <c r="AW19" s="211"/>
      <c r="AX19" s="212"/>
      <c r="AY19" s="133">
        <f>SUBTOTAL(9,AY9:AY18)</f>
        <v>13335</v>
      </c>
      <c r="AZ19" s="134">
        <f>SUBTOTAL(9,AZ9:AZ18)</f>
        <v>4521</v>
      </c>
      <c r="BA19" s="134">
        <f>SUBTOTAL(9,BA9:BA18)</f>
        <v>5676</v>
      </c>
      <c r="BB19" s="134">
        <f>SUBTOTAL(9,BB9:BB18)</f>
        <v>12092</v>
      </c>
      <c r="BC19" s="135">
        <f>SUBTOTAL(9,BC9:BC18)</f>
        <v>1437</v>
      </c>
      <c r="BD19" s="213">
        <f>IF(ISNUMBER(BA19/AZ19),BA19/AZ19," - ")</f>
        <v>1.2554744525547445</v>
      </c>
      <c r="BE19" s="210">
        <f>IF(ISNUMBER(BB19/BA19),BB19/BA19, " - ")</f>
        <v>2.1303735024665258</v>
      </c>
      <c r="BF19" s="210">
        <f>IF(ISNUMBER(BC19/BA19),BC19/BA19, " - ")</f>
        <v>0.25317124735729385</v>
      </c>
      <c r="BG19" s="135">
        <f>IF(ISNUMBER((AY19+AZ19)/BA19),(AY19+AZ19)/BA19," - ")</f>
        <v>3.1458773784355181</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IF7q6xVioMXKtb7RxwndA9t8n/lwsk8WiaEg4pVgtAbvsRGHfocvDciicidC+TOpb1aZQv/xSlc6tMhZYDCsA==" saltValue="98F6puln+oaRoaz2AuSg3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NEDbHN8ucrb7E4hIj5ryNURHZzPN1cGMcovRsGa3xCGGCF1Es68PbnMj7Th9ZjeVWr20Zq0sZhV1Vi439FcMg==" saltValue="vvQfTZWKBDGZ0bGPvNIH0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CADIZ</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170</v>
      </c>
      <c r="O9" s="334"/>
      <c r="P9" s="334"/>
      <c r="Q9" s="226">
        <f>IF(ISNUMBER(Datos!P9),Datos!P9,0)</f>
        <v>804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386</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298</v>
      </c>
      <c r="AI9" s="334" t="str">
        <f>IF(ISNUMBER(Datos!CD9),Datos!CD9,"-")</f>
        <v>-</v>
      </c>
      <c r="AJ9" s="334" t="str">
        <f>IF(ISNUMBER(Datos!EN9),Datos!EN9," - ")</f>
        <v xml:space="preserve"> - </v>
      </c>
      <c r="AK9" s="334"/>
      <c r="AL9" s="479"/>
      <c r="AM9" s="335">
        <f>IF(ISNUMBER(Datos!R9),Datos!R9," - ")</f>
        <v>9875</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1330</v>
      </c>
      <c r="BD9" s="229">
        <f>IF(ISNUMBER(Datos!N9),Datos!N9," - ")</f>
        <v>1220</v>
      </c>
      <c r="BE9" s="229" t="str">
        <f>IF(ISNUMBER(Datos!BW9),Datos!BW9," - ")</f>
        <v xml:space="preserve"> - </v>
      </c>
      <c r="BF9" s="228" t="str">
        <f>IF(ISNUMBER(Datos!BX9),Datos!BX9," - ")</f>
        <v xml:space="preserve"> - </v>
      </c>
      <c r="BG9" s="243">
        <f>IF(ISNUMBER(IF(J_V="SI",Datos!K9/Datos!J9,(Datos!K9+Datos!AA9)/(Datos!J9+Datos!Z9))),IF(J_V="SI",Datos!K9/Datos!J9,(Datos!K9+Datos!AA9)/(Datos!J9+Datos!Z9))," - ")</f>
        <v>2.0326678765880217</v>
      </c>
      <c r="BH9" s="260">
        <f>IF(ISNUMBER(((IF(J_V="SI",Datos!L9/Datos!K9,(Datos!L9+Datos!AB9)/(Datos!K9+Datos!AA9)))*11)/factor_trimestre),((IF(J_V="SI",Datos!L9/Datos!K9,(Datos!L9+Datos!AB9)/(Datos!K9+Datos!AA9)))*11)/factor_trimestre," - ")</f>
        <v>5.9866071428571432</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4.4200063445067148E-2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99</v>
      </c>
      <c r="G10" s="333">
        <f>IF(ISNUMBER(Datos!I10),Datos!I10," - ")</f>
        <v>99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32</v>
      </c>
      <c r="AC10" s="226">
        <f>IF(ISNUMBER(Datos!Q10),Datos!Q10," - ")</f>
        <v>8</v>
      </c>
      <c r="AD10" s="334"/>
      <c r="AE10" s="484"/>
      <c r="AF10" s="332">
        <f>IF(ISNUMBER(Datos!L10),Datos!L10,"-")</f>
        <v>94</v>
      </c>
      <c r="AG10" s="334"/>
      <c r="AH10" s="334"/>
      <c r="AI10" s="334"/>
      <c r="AJ10" s="334"/>
      <c r="AK10" s="334"/>
      <c r="AL10" s="479"/>
      <c r="AM10" s="335">
        <f>IF(ISNUMBER(Datos!R10),Datos!R10," - ")</f>
        <v>52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15</v>
      </c>
      <c r="BD10" s="229">
        <f>IF(ISNUMBER(Datos!N10),Datos!N10," - ")</f>
        <v>13</v>
      </c>
      <c r="BE10" s="229" t="str">
        <f>IF(ISNUMBER(Datos!BW10),Datos!BW10," - ")</f>
        <v xml:space="preserve"> - </v>
      </c>
      <c r="BF10" s="228" t="str">
        <f>IF(ISNUMBER(Datos!BX10),Datos!BX10," - ")</f>
        <v xml:space="preserve"> - </v>
      </c>
      <c r="BG10" s="243">
        <f>IF(ISNUMBER(Datos!K10/Datos!J10),Datos!K10/Datos!J10," - ")</f>
        <v>1.1851851851851851</v>
      </c>
      <c r="BH10" s="260">
        <f>IF(ISNUMBER(((Datos!L10/Datos!K10)*11)/factor_trimestre),((Datos!L10/Datos!K10)*11)/factor_trimestre," - ")</f>
        <v>8.8125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-5.4545454545454543E-2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99</v>
      </c>
      <c r="G13" s="898">
        <f t="shared" si="0"/>
        <v>99</v>
      </c>
      <c r="H13" s="899">
        <f t="shared" si="0"/>
        <v>0</v>
      </c>
      <c r="I13" s="898">
        <f t="shared" si="0"/>
        <v>0</v>
      </c>
      <c r="J13" s="867">
        <f t="shared" si="0"/>
        <v>0</v>
      </c>
      <c r="K13" s="867">
        <f t="shared" si="0"/>
        <v>0</v>
      </c>
      <c r="L13" s="899">
        <f t="shared" si="0"/>
        <v>0</v>
      </c>
      <c r="M13" s="899">
        <f t="shared" si="0"/>
        <v>0</v>
      </c>
      <c r="N13" s="899">
        <f t="shared" si="0"/>
        <v>170</v>
      </c>
      <c r="O13" s="900">
        <f t="shared" si="0"/>
        <v>0</v>
      </c>
      <c r="P13" s="900">
        <f t="shared" si="0"/>
        <v>0</v>
      </c>
      <c r="Q13" s="899">
        <f t="shared" si="0"/>
        <v>809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32</v>
      </c>
      <c r="AC13" s="899">
        <f t="shared" si="1"/>
        <v>394</v>
      </c>
      <c r="AD13" s="899">
        <f t="shared" si="1"/>
        <v>0</v>
      </c>
      <c r="AE13" s="899">
        <f t="shared" si="1"/>
        <v>0</v>
      </c>
      <c r="AF13" s="899">
        <f t="shared" si="1"/>
        <v>94</v>
      </c>
      <c r="AG13" s="899">
        <f t="shared" si="1"/>
        <v>0</v>
      </c>
      <c r="AH13" s="899">
        <f t="shared" si="1"/>
        <v>298</v>
      </c>
      <c r="AI13" s="899">
        <f t="shared" si="1"/>
        <v>0</v>
      </c>
      <c r="AJ13" s="899">
        <f t="shared" si="1"/>
        <v>0</v>
      </c>
      <c r="AK13" s="899">
        <f t="shared" si="1"/>
        <v>0</v>
      </c>
      <c r="AL13" s="899">
        <f t="shared" si="1"/>
        <v>0</v>
      </c>
      <c r="AM13" s="899">
        <f t="shared" si="1"/>
        <v>9927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1345</v>
      </c>
      <c r="BD13" s="899">
        <f t="shared" si="1"/>
        <v>1233</v>
      </c>
      <c r="BE13" s="899">
        <f t="shared" si="1"/>
        <v>0</v>
      </c>
      <c r="BF13" s="899">
        <f t="shared" si="1"/>
        <v>0</v>
      </c>
      <c r="BG13" s="899">
        <f>IF(ISNUMBER(Datos!K13/Datos!J13),Datos!K13/Datos!J13," - ")</f>
        <v>2.152980132450331</v>
      </c>
      <c r="BH13" s="903">
        <f>IF(ISNUMBER(((Datos!L13/Datos!K13)*11)/factor_trimestre),((Datos!L13/Datos!K13)*11)/factor_trimestre," - ")</f>
        <v>5.9990772070132268</v>
      </c>
      <c r="BI13" s="899">
        <f>IF(ISNUMBER('Resol  Asuntos'!D13/NºAsuntos!G13),'Resol  Asuntos'!D13/NºAsuntos!G13," - ")</f>
        <v>0.39652122641509435</v>
      </c>
      <c r="BJ13" s="899" t="str">
        <f>IF(ISNUMBER(Datos!CI13/Datos!CJ13),Datos!CI13/Datos!CJ13," - ")</f>
        <v xml:space="preserve"> - </v>
      </c>
      <c r="BK13" s="899">
        <f>SUBTOTAL(9,BK8:BK12)</f>
        <v>0</v>
      </c>
      <c r="BL13" s="899">
        <f>IF(ISNUMBER((I13-AB13+L13)/(F13)),(I13-AB13+L13)/(F13)," - ")</f>
        <v>-0.32323232323232326</v>
      </c>
      <c r="BM13" s="904">
        <f>SUBTOTAL(9,BM9:BM12)</f>
        <v>-1.0345391100387395E-2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396</v>
      </c>
      <c r="C15" s="600" t="str">
        <f>Datos!A15</f>
        <v xml:space="preserve">Jdos. Instrucción                               </v>
      </c>
      <c r="D15" s="601"/>
      <c r="E15" s="1165">
        <f>IF(ISNUMBER(Datos!AQ15),Datos!AQ15," - ")</f>
        <v>4</v>
      </c>
      <c r="F15" s="595">
        <f>IF(ISNUMBER(AF15+AB15-Datos!J15-L15),AF15+AB15-Datos!J15-L15," - ")</f>
        <v>1148</v>
      </c>
      <c r="G15" s="598">
        <f>IF(ISNUMBER(IF(D_I="SI",Datos!I15,Datos!I15+Datos!AC15)),IF(D_I="SI",Datos!I15,Datos!I15+Datos!AC15)," - ")</f>
        <v>1142</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103</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1563</v>
      </c>
      <c r="AC15" s="226">
        <f>IF(ISNUMBER(Datos!Q15),Datos!Q15," - ")</f>
        <v>117</v>
      </c>
      <c r="AD15" s="334"/>
      <c r="AE15" s="484"/>
      <c r="AF15" s="596">
        <f>IF(ISNUMBER(IF(D_I="SI",Datos!L15,Datos!L15+Datos!AF15)),IF(D_I="SI",Datos!L15,Datos!L15+Datos!AF15)," - ")</f>
        <v>1071</v>
      </c>
      <c r="AG15" s="334"/>
      <c r="AH15" s="334"/>
      <c r="AI15" s="334"/>
      <c r="AJ15" s="334"/>
      <c r="AK15" s="334"/>
      <c r="AL15" s="479"/>
      <c r="AM15" s="335">
        <f>IF(ISNUMBER(Datos!R15),Datos!R15," - ")</f>
        <v>233</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241</v>
      </c>
      <c r="BD15" s="229">
        <f>IF(ISNUMBER(Datos!N15),Datos!N15," - ")</f>
        <v>733</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1.0518169582772543</v>
      </c>
      <c r="BH15" s="260">
        <f>IF(ISNUMBER(((IF(D_I="SI",Datos!L15/Datos!K15,(Datos!L15+Datos!AF15)/(Datos!K15+Datos!AE15)))*11)/factor_trimestre),((IF(D_I="SI",Datos!L15/Datos!K15,(Datos!L15+Datos!AF15)/(Datos!K15+Datos!AE15)))*11)/factor_trimestre," - ")</f>
        <v>2.0556621880998085</v>
      </c>
      <c r="BI15" s="243">
        <f>IF(ISNUMBER('Resol  Asuntos'!D15/NºAsuntos!G15),'Resol  Asuntos'!D15/NºAsuntos!G15," - ")</f>
        <v>0.15419065898912349</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250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8</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786</v>
      </c>
      <c r="AC17" s="226">
        <f>IF(ISNUMBER(Datos!Q17),Datos!Q17," - ")</f>
        <v>3</v>
      </c>
      <c r="AD17" s="334"/>
      <c r="AE17" s="484"/>
      <c r="AF17" s="332">
        <f>IF(ISNUMBER(Datos!L17),Datos!L17,"-")</f>
        <v>261</v>
      </c>
      <c r="AG17" s="334"/>
      <c r="AH17" s="334"/>
      <c r="AI17" s="334"/>
      <c r="AJ17" s="334"/>
      <c r="AK17" s="334"/>
      <c r="AL17" s="479"/>
      <c r="AM17" s="335">
        <f>IF(ISNUMBER(Datos!R17),Datos!R17," - ")</f>
        <v>23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67</v>
      </c>
      <c r="BD17" s="229">
        <f>IF(ISNUMBER(Datos!N17),Datos!N17," - ")</f>
        <v>561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0.98743718592964824</v>
      </c>
      <c r="BH17" s="260">
        <f>IF(ISNUMBER(((IF(D_I="SI",Datos!L17/Datos!K17,(Datos!L17+Datos!AF17)/(Datos!K17+Datos!AE17)))*11)/factor_trimestre),((IF(D_I="SI",Datos!L17/Datos!K17,(Datos!L17+Datos!AF17)/(Datos!K17+Datos!AE17)))*11)/factor_trimestre," - ")</f>
        <v>0.99618320610687017</v>
      </c>
      <c r="BI17" s="243">
        <f>IF(ISNUMBER('Resol  Asuntos'!D17/NºAsuntos!G17),'Resol  Asuntos'!D17/NºAsuntos!G17," - ")</f>
        <v>8.5241730279898217E-2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1148</v>
      </c>
      <c r="G18" s="898">
        <f>SUBTOTAL(9,G15:G17)</f>
        <v>1392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2349</v>
      </c>
      <c r="AC18" s="899">
        <f t="shared" si="4"/>
        <v>120</v>
      </c>
      <c r="AD18" s="899">
        <f t="shared" si="4"/>
        <v>0</v>
      </c>
      <c r="AE18" s="899">
        <f t="shared" si="4"/>
        <v>0</v>
      </c>
      <c r="AF18" s="899">
        <f t="shared" si="4"/>
        <v>1332</v>
      </c>
      <c r="AG18" s="899">
        <f t="shared" si="4"/>
        <v>0</v>
      </c>
      <c r="AH18" s="899">
        <f t="shared" si="4"/>
        <v>0</v>
      </c>
      <c r="AI18" s="899">
        <f t="shared" si="4"/>
        <v>0</v>
      </c>
      <c r="AJ18" s="899">
        <f t="shared" si="4"/>
        <v>0</v>
      </c>
      <c r="AK18" s="899">
        <f t="shared" si="4"/>
        <v>0</v>
      </c>
      <c r="AL18" s="899">
        <f t="shared" si="4"/>
        <v>0</v>
      </c>
      <c r="AM18" s="899">
        <f t="shared" si="4"/>
        <v>256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308</v>
      </c>
      <c r="BD18" s="899">
        <f t="shared" si="4"/>
        <v>1294</v>
      </c>
      <c r="BE18" s="899">
        <f t="shared" si="4"/>
        <v>0</v>
      </c>
      <c r="BF18" s="899">
        <f t="shared" si="4"/>
        <v>0</v>
      </c>
      <c r="BG18" s="899">
        <f>IF(ISNUMBER(Datos!K18/Datos!J18),Datos!K18/Datos!J18," - ")</f>
        <v>1.0293602103418054</v>
      </c>
      <c r="BH18" s="903">
        <f>IF(ISNUMBER(((Datos!L18/Datos!K18)*11)/factor_trimestre),((Datos!L18/Datos!K18)*11)/factor_trimestre," - ")</f>
        <v>1.7011494252873565</v>
      </c>
      <c r="BI18" s="899">
        <f>SUBTOTAL(9,BI15:BI17)</f>
        <v>0.23943238926902172</v>
      </c>
      <c r="BJ18" s="899">
        <f>SUBTOTAL(9,BJ15:BJ17)</f>
        <v>0</v>
      </c>
      <c r="BK18" s="899">
        <f>SUBTOTAL(9,BK15:BK17)</f>
        <v>0</v>
      </c>
      <c r="BL18" s="899">
        <f>IF(ISNUMBER((I18-AB18+L18)/(F18)),(I18-AB18+L18)/(F18)," - ")</f>
        <v>-2.0461672473867596</v>
      </c>
      <c r="BM18" s="905">
        <f>IF(ISNUMBER((Datos!P18-Datos!Q18)/(Datos!R18-Datos!P18+Datos!Q18)),(Datos!P18-Datos!Q18)/(Datos!R18-Datos!P18+Datos!Q18)," - ")</f>
        <v>-3.3962264150943396E-2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1247</v>
      </c>
      <c r="G19" s="820">
        <f t="shared" si="6"/>
        <v>1491</v>
      </c>
      <c r="H19" s="822">
        <f t="shared" si="6"/>
        <v>0</v>
      </c>
      <c r="I19" s="820">
        <f t="shared" si="6"/>
        <v>0</v>
      </c>
      <c r="J19" s="822">
        <f t="shared" si="6"/>
        <v>0</v>
      </c>
      <c r="K19" s="822">
        <f t="shared" si="6"/>
        <v>0</v>
      </c>
      <c r="L19" s="881">
        <f t="shared" si="6"/>
        <v>0</v>
      </c>
      <c r="M19" s="881">
        <f t="shared" si="6"/>
        <v>0</v>
      </c>
      <c r="N19" s="881">
        <f t="shared" si="6"/>
        <v>170</v>
      </c>
      <c r="O19" s="881">
        <f t="shared" si="6"/>
        <v>0</v>
      </c>
      <c r="P19" s="881">
        <f t="shared" si="6"/>
        <v>0</v>
      </c>
      <c r="Q19" s="822">
        <f t="shared" si="6"/>
        <v>920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2381</v>
      </c>
      <c r="AC19" s="821">
        <f t="shared" si="7"/>
        <v>514</v>
      </c>
      <c r="AD19" s="821">
        <f t="shared" si="7"/>
        <v>0</v>
      </c>
      <c r="AE19" s="821">
        <f t="shared" si="7"/>
        <v>0</v>
      </c>
      <c r="AF19" s="828">
        <f t="shared" si="7"/>
        <v>1426</v>
      </c>
      <c r="AG19" s="828">
        <f t="shared" si="7"/>
        <v>0</v>
      </c>
      <c r="AH19" s="828">
        <f t="shared" si="7"/>
        <v>298</v>
      </c>
      <c r="AI19" s="828">
        <f t="shared" si="7"/>
        <v>0</v>
      </c>
      <c r="AJ19" s="821">
        <f t="shared" si="7"/>
        <v>0</v>
      </c>
      <c r="AK19" s="828">
        <f t="shared" si="7"/>
        <v>0</v>
      </c>
      <c r="AL19" s="828">
        <f t="shared" si="7"/>
        <v>0</v>
      </c>
      <c r="AM19" s="828">
        <f t="shared" si="7"/>
        <v>10183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1653</v>
      </c>
      <c r="BD19" s="820">
        <f t="shared" si="7"/>
        <v>2527</v>
      </c>
      <c r="BE19" s="820">
        <f t="shared" si="7"/>
        <v>0</v>
      </c>
      <c r="BF19" s="830">
        <f t="shared" si="7"/>
        <v>0</v>
      </c>
      <c r="BG19" s="915">
        <f>IF(ISNUMBER(Datos!K19/Datos!J19),Datos!K19/Datos!J19," - ")</f>
        <v>1.4767932489451476</v>
      </c>
      <c r="BH19" s="915">
        <f>IF(ISNUMBER(((Datos!L19/Datos!K19)*11)/factor_trimestre),((Datos!L19/Datos!K19)*11)/factor_trimestre," - ")</f>
        <v>4.19625</v>
      </c>
      <c r="BI19" s="813">
        <f>IF(ISNUMBER(Datos!J19/Datos!I19),Datos!J19/Datos!I19," - ")</f>
        <v>0.39360597882499482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-1.9093825180433039</v>
      </c>
      <c r="BM19" s="889">
        <f>IF(ISNUMBER((Datos!P19-Datos!Q19+R19)/(Datos!R19-Datos!P19+Datos!Q19-R19)),(Datos!P19-Datos!Q19+R19)/(Datos!R19-Datos!P19+Datos!Q19-R19)," - ")</f>
        <v>4.1526030479697246E-2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596.4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2.8284271247461903</v>
      </c>
      <c r="F21" s="551">
        <f>IF(ISNUMBER(STDEV(F8:F18)),STDEV(F8:F18),"-")</f>
        <v>605.64043237991746</v>
      </c>
      <c r="G21" s="552">
        <f>IF(ISNUMBER(STDEV(G8:G18)),STDEV(G8:G18),"-")</f>
        <v>621.58370313257092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1005.6447185760984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618.70477612509183</v>
      </c>
      <c r="BD21" s="551"/>
      <c r="BE21" s="551">
        <f>IF(ISNUMBER(STDEV(BE8:BE18)),STDEV(BE8:BE18),"-")</f>
        <v>0</v>
      </c>
      <c r="BF21" s="556">
        <f>IF(ISNUMBER(STDEV(BF8:BF18)),STDEV(BF8:BF18),"-")</f>
        <v>0</v>
      </c>
      <c r="BG21" s="775">
        <f>IF(ISNUMBER(STDEV(BG8:BG18)),STDEV(BG8:BG18),"-")</f>
        <v>0.53701901918883665</v>
      </c>
      <c r="BH21" s="776">
        <f>IF(ISNUMBER(STDEV(BH8:BH18)),STDEV(BH8:BH18),"-")</f>
        <v>3.1237838131552915</v>
      </c>
      <c r="BI21" s="249">
        <f>IF(ISNUMBER(STDEV(BI8:BI18)),STDEV(BI8:BI18),"-")</f>
        <v>0.13419227438326467</v>
      </c>
      <c r="BJ21" s="230" t="str">
        <f>IF(ISNUMBER(BL21/BM21),BL21/BM21," - ")</f>
        <v xml:space="preserve"> - </v>
      </c>
      <c r="BK21" s="575"/>
      <c r="BL21" s="559">
        <f>IF(ISNUMBER(STDEV(BL8:BL18)),STDEV(BL8:BL18),"-")</f>
        <v>1.2182989684127321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3d0dPLnAlSr+YM9B3HiXDjmmYdYM9AULYakpK/13bupyVxjI9zPdRjgFpCDZm60UQsVa+AfxGFw65v/5GQl3iw==" saltValue="cnLi/5Ih+SJjoi57ZDqe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CADIZ</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804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386</v>
      </c>
      <c r="AA9" s="332" t="str">
        <f>IF(ISNUMBER(IF(J_V="SI",Datos!L9,Datos!L9+Datos!AB9)-IF(Monitorios="SI",Datos!CD9,0)),
                          IF(J_V="SI",Datos!L9,Datos!L9+Datos!AB9)-IF(Monitorios="SI",Datos!CD9,0),
                          " - ")</f>
        <v xml:space="preserve"> - </v>
      </c>
      <c r="AB9" s="334"/>
      <c r="AC9" s="334"/>
      <c r="AD9" s="484"/>
      <c r="AE9" s="484">
        <f>IF(ISNUMBER(Datos!R9),Datos!R9," - ")</f>
        <v>9875</v>
      </c>
      <c r="AF9" s="229" t="str">
        <f>IF(ISNUMBER(Datos!BV9),Datos!BV9," - ")</f>
        <v xml:space="preserve"> - </v>
      </c>
      <c r="AG9" s="225" t="str">
        <f>IF(ISNUMBER(Datos!DV9),Datos!DV9," - ")</f>
        <v xml:space="preserve"> - </v>
      </c>
      <c r="AH9" s="298"/>
      <c r="AI9" s="227"/>
      <c r="AJ9" s="225">
        <f>IF(ISNUMBER(Datos!M9),Datos!M9," - ")</f>
        <v>1330</v>
      </c>
      <c r="AK9" s="229">
        <f>IF(ISNUMBER(Datos!N9),Datos!N9," - ")</f>
        <v>1220</v>
      </c>
      <c r="AL9" s="229" t="str">
        <f>IF(ISNUMBER(Datos!BW9),Datos!BW9," - ")</f>
        <v xml:space="preserve"> - </v>
      </c>
      <c r="AM9" s="228" t="str">
        <f>IF(ISNUMBER(Datos!BX9),Datos!BX9," - ")</f>
        <v xml:space="preserve"> - </v>
      </c>
      <c r="AN9" s="243"/>
      <c r="AO9" s="260">
        <f>IF(ISNUMBER(((NºAsuntos!I9/NºAsuntos!G9)*11)/factor_trimestre),((NºAsuntos!I9/NºAsuntos!G9)*11)/factor_trimestre," - ")</f>
        <v>5.9866071428571432</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4.4200063445067148E-2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99</v>
      </c>
      <c r="G10" s="225">
        <f>IF(ISNUMBER(Datos!I10),Datos!I10," - ")</f>
        <v>99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32</v>
      </c>
      <c r="Z10" s="619">
        <f>IF(ISNUMBER(Datos!Q10),Datos!Q10," - ")</f>
        <v>8</v>
      </c>
      <c r="AA10" s="332">
        <f>IF(ISNUMBER(Datos!L10),Datos!L10,"-")</f>
        <v>94</v>
      </c>
      <c r="AB10" s="334"/>
      <c r="AC10" s="334"/>
      <c r="AD10" s="484"/>
      <c r="AE10" s="484">
        <f>IF(ISNUMBER(Datos!R10),Datos!R10," - ")</f>
        <v>52</v>
      </c>
      <c r="AF10" s="229" t="str">
        <f>IF(ISNUMBER(Datos!BV10),Datos!BV10," - ")</f>
        <v xml:space="preserve"> - </v>
      </c>
      <c r="AG10" s="225" t="str">
        <f>IF(ISNUMBER(Datos!DV10),Datos!DV10," - ")</f>
        <v xml:space="preserve"> - </v>
      </c>
      <c r="AH10" s="298"/>
      <c r="AI10" s="227"/>
      <c r="AJ10" s="225">
        <f>IF(ISNUMBER(Datos!M10),Datos!M10," - ")</f>
        <v>15</v>
      </c>
      <c r="AK10" s="229">
        <f>IF(ISNUMBER(Datos!N10),Datos!N10," - ")</f>
        <v>13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8.8125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-5.4545454545454543E-2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99</v>
      </c>
      <c r="G13" s="898">
        <f>SUBTOTAL(9,G8:G12)</f>
        <v>99</v>
      </c>
      <c r="H13" s="908"/>
      <c r="I13" s="898">
        <f t="shared" ref="I13:N13" si="0">SUBTOTAL(9,I8:I12)</f>
        <v>0</v>
      </c>
      <c r="J13" s="867">
        <f t="shared" si="0"/>
        <v>0</v>
      </c>
      <c r="K13" s="908">
        <f t="shared" si="0"/>
        <v>0</v>
      </c>
      <c r="L13" s="908">
        <f t="shared" si="0"/>
        <v>0</v>
      </c>
      <c r="M13" s="908">
        <f t="shared" si="0"/>
        <v>0</v>
      </c>
      <c r="N13" s="908">
        <f t="shared" si="0"/>
        <v>809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32</v>
      </c>
      <c r="Z13" s="907">
        <f t="shared" si="2"/>
        <v>394</v>
      </c>
      <c r="AA13" s="900">
        <f t="shared" si="2"/>
        <v>94</v>
      </c>
      <c r="AB13" s="900">
        <f t="shared" si="2"/>
        <v>0</v>
      </c>
      <c r="AC13" s="900">
        <f t="shared" si="2"/>
        <v>0</v>
      </c>
      <c r="AD13" s="900">
        <f t="shared" si="2"/>
        <v>0</v>
      </c>
      <c r="AE13" s="900">
        <f t="shared" si="2"/>
        <v>9927</v>
      </c>
      <c r="AF13" s="908">
        <f t="shared" si="2"/>
        <v>0</v>
      </c>
      <c r="AG13" s="908">
        <f t="shared" si="2"/>
        <v>0</v>
      </c>
      <c r="AH13" s="908">
        <f t="shared" si="2"/>
        <v>0</v>
      </c>
      <c r="AI13" s="908">
        <f t="shared" si="2"/>
        <v>0</v>
      </c>
      <c r="AJ13" s="908">
        <f t="shared" si="2"/>
        <v>1345</v>
      </c>
      <c r="AK13" s="908">
        <f t="shared" si="2"/>
        <v>1233</v>
      </c>
      <c r="AL13" s="908">
        <f t="shared" si="2"/>
        <v>0</v>
      </c>
      <c r="AM13" s="908">
        <f t="shared" si="2"/>
        <v>0</v>
      </c>
      <c r="AN13" s="908">
        <f t="shared" si="2"/>
        <v>0</v>
      </c>
      <c r="AO13" s="904">
        <f>IF(ISNUMBER(((NºAsuntos!I13/NºAsuntos!G13)*11)/factor_trimestre),((NºAsuntos!I13/NºAsuntos!G13)*11)/factor_trimestre," - ")</f>
        <v>6.0132665094339623</v>
      </c>
      <c r="AP13" s="910" t="str">
        <f>IF(ISNUMBER(Datos!CI13/Datos!CJ13),Datos!CI13/Datos!CJ13," - ")</f>
        <v xml:space="preserve"> - </v>
      </c>
      <c r="AQ13" s="928">
        <f t="shared" ref="AQ13:AV13" si="3">SUBTOTAL(9,AQ9:AQ12)</f>
        <v>0</v>
      </c>
      <c r="AR13" s="928">
        <f t="shared" si="3"/>
        <v>-1.0345391100387395E-2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396</v>
      </c>
      <c r="C15" s="160" t="str">
        <f>Datos!A15</f>
        <v xml:space="preserve">Jdos. Instrucción                               </v>
      </c>
      <c r="D15" s="502"/>
      <c r="E15" s="1168">
        <f>IF(ISNUMBER(Datos!AQ15),Datos!AQ15," - ")</f>
        <v>4</v>
      </c>
      <c r="F15" s="333">
        <f>IF(ISNUMBER(AA15+Y15-Datos!J15-K15),AA15+Y15-Datos!J15-K15," - ")</f>
        <v>1148</v>
      </c>
      <c r="G15" s="225">
        <f>IF(ISNUMBER(IF(D_I="SI",Datos!I15,Datos!I15+Datos!AC15)),IF(D_I="SI",Datos!I15,Datos!I15+Datos!AC15)," - ")</f>
        <v>1142</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103</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1563</v>
      </c>
      <c r="Z15" s="619">
        <f>IF(ISNUMBER(Datos!Q15),Datos!Q15," - ")</f>
        <v>117</v>
      </c>
      <c r="AA15" s="332">
        <f>IF(ISNUMBER(IF(D_I="SI",Datos!L15,Datos!L15+Datos!AF15)),IF(D_I="SI",Datos!L15,Datos!L15+Datos!AF15)," - ")</f>
        <v>1071</v>
      </c>
      <c r="AB15" s="334"/>
      <c r="AC15" s="334"/>
      <c r="AD15" s="484"/>
      <c r="AE15" s="484">
        <f>IF(ISNUMBER(Datos!R15),Datos!R15," - ")</f>
        <v>233</v>
      </c>
      <c r="AF15" s="229" t="str">
        <f>IF(ISNUMBER(Datos!BV15),Datos!BV15," - ")</f>
        <v xml:space="preserve"> - </v>
      </c>
      <c r="AG15" s="225"/>
      <c r="AH15" s="298"/>
      <c r="AI15" s="227"/>
      <c r="AJ15" s="225">
        <f>IF(ISNUMBER(Datos!M15),Datos!M15," - ")</f>
        <v>241</v>
      </c>
      <c r="AK15" s="229">
        <f>IF(ISNUMBER(Datos!N15),Datos!N15," - ")</f>
        <v>733</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2.0556621880998085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250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8</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786</v>
      </c>
      <c r="Z17" s="619">
        <f>IF(ISNUMBER(Datos!Q17),Datos!Q17," - ")</f>
        <v>3</v>
      </c>
      <c r="AA17" s="332">
        <f>IF(ISNUMBER(Datos!L17),Datos!L17,"-")</f>
        <v>261</v>
      </c>
      <c r="AB17" s="334"/>
      <c r="AC17" s="334"/>
      <c r="AD17" s="484"/>
      <c r="AE17" s="484">
        <f>IF(ISNUMBER(Datos!R17),Datos!R17," - ")</f>
        <v>23</v>
      </c>
      <c r="AF17" s="229" t="str">
        <f>IF(ISNUMBER(Datos!BV17),Datos!BV17," - ")</f>
        <v xml:space="preserve"> - </v>
      </c>
      <c r="AG17" s="225" t="str">
        <f>IF(ISNUMBER(Datos!DV17),Datos!DV17," - ")</f>
        <v xml:space="preserve"> - </v>
      </c>
      <c r="AH17" s="298"/>
      <c r="AI17" s="227"/>
      <c r="AJ17" s="225">
        <f>IF(ISNUMBER(Datos!M17),Datos!M17," - ")</f>
        <v>67</v>
      </c>
      <c r="AK17" s="229">
        <f>IF(ISNUMBER(Datos!N17),Datos!N17," - ")</f>
        <v>561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0.99618320610687017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1148</v>
      </c>
      <c r="G18" s="898">
        <f>SUBTOTAL(9,G15:G17)</f>
        <v>1392</v>
      </c>
      <c r="H18" s="932">
        <f>SUBTOTAL(9,H15:H17)</f>
        <v>0</v>
      </c>
      <c r="I18" s="911">
        <f>SUBTOTAL(9,I15:I17)</f>
        <v>0</v>
      </c>
      <c r="J18" s="867">
        <f>SUBTOTAL(9,J14:J17)</f>
        <v>0</v>
      </c>
      <c r="K18" s="932">
        <f t="shared" ref="K18:S18" si="4">SUBTOTAL(9,K15:K17)</f>
        <v>0</v>
      </c>
      <c r="L18" s="932">
        <f t="shared" si="4"/>
        <v>0</v>
      </c>
      <c r="M18" s="932">
        <f t="shared" si="4"/>
        <v>0</v>
      </c>
      <c r="N18" s="932">
        <f t="shared" si="4"/>
        <v>111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2349</v>
      </c>
      <c r="Z18" s="932">
        <f t="shared" si="5"/>
        <v>120</v>
      </c>
      <c r="AA18" s="932">
        <f t="shared" si="5"/>
        <v>1332</v>
      </c>
      <c r="AB18" s="932">
        <f t="shared" si="5"/>
        <v>0</v>
      </c>
      <c r="AC18" s="932">
        <f t="shared" si="5"/>
        <v>0</v>
      </c>
      <c r="AD18" s="932">
        <f t="shared" si="5"/>
        <v>0</v>
      </c>
      <c r="AE18" s="932">
        <f t="shared" si="5"/>
        <v>256</v>
      </c>
      <c r="AF18" s="932">
        <f t="shared" si="5"/>
        <v>0</v>
      </c>
      <c r="AG18" s="932">
        <f t="shared" si="5"/>
        <v>0</v>
      </c>
      <c r="AH18" s="932">
        <f t="shared" si="5"/>
        <v>0</v>
      </c>
      <c r="AI18" s="932">
        <f t="shared" si="5"/>
        <v>0</v>
      </c>
      <c r="AJ18" s="932">
        <f t="shared" si="5"/>
        <v>308</v>
      </c>
      <c r="AK18" s="932">
        <f t="shared" si="5"/>
        <v>1294</v>
      </c>
      <c r="AL18" s="932">
        <f t="shared" si="5"/>
        <v>0</v>
      </c>
      <c r="AM18" s="932">
        <f t="shared" si="5"/>
        <v>0</v>
      </c>
      <c r="AN18" s="932">
        <f t="shared" si="5"/>
        <v>0</v>
      </c>
      <c r="AO18" s="934">
        <f>IF(ISNUMBER(((NºAsuntos!I18/NºAsuntos!G18)*11)/factor_trimestre),((NºAsuntos!I18/NºAsuntos!G18)*11)/factor_trimestre," - ")</f>
        <v>1.7011494252873565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1247</v>
      </c>
      <c r="G19" s="820">
        <f t="shared" si="7"/>
        <v>1491</v>
      </c>
      <c r="H19" s="821">
        <f t="shared" si="7"/>
        <v>0</v>
      </c>
      <c r="I19" s="820">
        <f t="shared" si="7"/>
        <v>0</v>
      </c>
      <c r="J19" s="822">
        <f t="shared" si="7"/>
        <v>0</v>
      </c>
      <c r="K19" s="820">
        <f t="shared" si="7"/>
        <v>0</v>
      </c>
      <c r="L19" s="823">
        <f t="shared" si="7"/>
        <v>0</v>
      </c>
      <c r="M19" s="820">
        <f t="shared" si="7"/>
        <v>0</v>
      </c>
      <c r="N19" s="821">
        <f t="shared" si="7"/>
        <v>920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2381</v>
      </c>
      <c r="Z19" s="827">
        <f t="shared" si="8"/>
        <v>514</v>
      </c>
      <c r="AA19" s="828">
        <f t="shared" si="8"/>
        <v>1426</v>
      </c>
      <c r="AB19" s="828">
        <f t="shared" si="8"/>
        <v>0</v>
      </c>
      <c r="AC19" s="828">
        <f t="shared" si="8"/>
        <v>0</v>
      </c>
      <c r="AD19" s="829">
        <f t="shared" si="8"/>
        <v>0</v>
      </c>
      <c r="AE19" s="829">
        <f t="shared" si="8"/>
        <v>10183</v>
      </c>
      <c r="AF19" s="830">
        <f t="shared" si="8"/>
        <v>0</v>
      </c>
      <c r="AG19" s="831">
        <f t="shared" si="8"/>
        <v>0</v>
      </c>
      <c r="AH19" s="832">
        <f t="shared" si="8"/>
        <v>0</v>
      </c>
      <c r="AI19" s="830">
        <f t="shared" si="8"/>
        <v>0</v>
      </c>
      <c r="AJ19" s="820">
        <f t="shared" si="8"/>
        <v>1653</v>
      </c>
      <c r="AK19" s="820">
        <f t="shared" si="8"/>
        <v>2527</v>
      </c>
      <c r="AL19" s="820">
        <f t="shared" si="8"/>
        <v>0</v>
      </c>
      <c r="AM19" s="833">
        <f t="shared" si="8"/>
        <v>0</v>
      </c>
      <c r="AN19" s="823">
        <f>IF(ISNUMBER(Datos!K19/Datos!J19),Datos!K19/Datos!J19," - ")</f>
        <v>1.4767932489451476</v>
      </c>
      <c r="AO19" s="823">
        <f>IF(ISNUMBER(FIND("06",Criterios!A8,1)),(IF(ISNUMBER(((Datos!R19/Datos!Q19)*11)/factor_trimestre),((Datos!R19/Datos!Q19)*11)/factor_trimestre," - ")),(IF(ISNUMBER(((Datos!L19/Datos!K19)*11)/factor_trimestre),((Datos!L19/Datos!K19)*11)/factor_trimestre," - ")))</f>
        <v>4.19625</v>
      </c>
      <c r="AP19" s="834" t="str">
        <f>IF(ISNUMBER(Datos!CI19/Datos!CJ19),Datos!CI19/Datos!CJ19," - ")</f>
        <v xml:space="preserve"> - </v>
      </c>
      <c r="AQ19" s="834">
        <f>IF(OR(ISNUMBER(FIND("01",Criterios!A8,1)),ISNUMBER(FIND("02",Criterios!A8,1)),ISNUMBER(FIND("03",Criterios!A8,1)),ISNUMBER(FIND("04",Criterios!A8,1))),(J19-Y19+K19)/(F19-K19),(I19-Y19+K19)/(F19-K19))</f>
        <v>-1.9093825180433039</v>
      </c>
      <c r="AR19" s="834">
        <f>IF(ISNUMBER((Datos!P19-Datos!Q19+O19)/(Datos!R19-Datos!P19+Datos!Q19-O19)),(Datos!P19-Datos!Q19+O19)/(Datos!R19-Datos!P19+Datos!Q19-O19)," - ")</f>
        <v>4.1526030479697246E-2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596.4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605.64043237991746</v>
      </c>
      <c r="G21" s="552">
        <f>IF(ISNUMBER(STDEV(G8:G18)),STDEV(G8:G18),"-")</f>
        <v>621.58370313257092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618.70477612509183</v>
      </c>
      <c r="AK21" s="252"/>
      <c r="AL21" s="252">
        <f>IF(ISNUMBER(STDEV(AL8:AL18)),STDEV(AL8:AL18),"-")</f>
        <v>0</v>
      </c>
      <c r="AM21" s="254">
        <f>IF(ISNUMBER(STDEV(AM8:AM18)),STDEV(AM8:AM18),"-")</f>
        <v>0</v>
      </c>
      <c r="AN21" s="539">
        <f>IF(ISNUMBER(STDEV(AN8:AN18)),STDEV(AN8:AN18),"-")</f>
        <v>0</v>
      </c>
      <c r="AO21" s="540">
        <f>IF(ISNUMBER(STDEV(AO8:AO18)),STDEV(AO8:AO18),"-")</f>
        <v>3.1253700146456946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hHqla1h4ChVealjogIns+bUTaHdQVuvnPVLB/fOdJLgF7za3raOiyR8WMDpIFAPGEWln8mDjKEmJXBKA+QwlKg==" saltValue="nzn51MKeA++UaUXnjAB2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Byrz0Xy6rT2Park3UrmcdcQtZ3+UYots0dOCyS9it6xjN4wQ8pYLqf/9AkdgAcuajPXMhv6D4gEGTcTRzg+kKw==" saltValue="UXtbfMfFJRJj0na2oZpx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ofU+5yUzrSNDo3bD8MlybHqT89gSFwmz9J9/oeHCtCHbHXGXICVRT4pBD857wsiu/JB47BOjGcVdB9VEYc26g==" saltValue="BK5/ISaDD5mJ39rvXPqmF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CADIZ</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0.39652122641509435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0.28038284808251962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9yaEwjhKRuFybaG1vs863VyDCh4b2GtSTrNb6ek+Qv3G/MUPvdMpaxhjtS0CI3UZbTk/MDrMcxMcp0SH+1ZSSA==" saltValue="9oFknw1UTgbt1+Wi8J07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AxM6p6bu6RASF/agGxhNz+0Su3BOxJ8lOVcCPzQFdmXSqO5MaVAbqT7gUxXhBNn3tsdEwn7sMzfYpUD+p2FmSw==" saltValue="byWq54VCnm7u9N3c66Rb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CADIZ</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8412</v>
      </c>
      <c r="D9" s="404">
        <f>IF(ISNUMBER(C9/Datos!BH9),C9/Datos!BH9," - ")</f>
        <v>1402</v>
      </c>
      <c r="E9" s="403">
        <f>IF(ISNUMBER(IF(J_V="SI",Datos!J9,Datos!J9+Datos!Z9)),IF(J_V="SI",Datos!J9,Datos!J9+Datos!Z9)," - ")</f>
        <v>1653</v>
      </c>
      <c r="F9" s="404">
        <f>IF(ISNUMBER(E9/B9),E9/B9," - ")</f>
        <v>275.5</v>
      </c>
      <c r="G9" s="403">
        <f>IF(ISNUMBER(IF(J_V="SI",Datos!K9,Datos!K9+Datos!AA9)),IF(J_V="SI",Datos!K9,Datos!K9+Datos!AA9)," - ")</f>
        <v>3360</v>
      </c>
      <c r="H9" s="404">
        <f>IF(ISNUMBER(G9/B9),G9/B9," - ")</f>
        <v>560</v>
      </c>
      <c r="I9" s="403">
        <f>IF(ISNUMBER(IF(J_V="SI",Datos!L9,Datos!L9+Datos!AB9)),IF(J_V="SI",Datos!L9,Datos!L9+Datos!AB9)," - ")</f>
        <v>6705</v>
      </c>
      <c r="J9" s="404">
        <f>IF(ISNUMBER(I9/B9),I9/B9," - ")</f>
        <v>1117.5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99</v>
      </c>
      <c r="D10" s="404">
        <f>IF(ISNUMBER(C10/Datos!BH10),C10/Datos!BH10," - ")</f>
        <v>99</v>
      </c>
      <c r="E10" s="403">
        <f>IF(ISNUMBER(Datos!J10),Datos!J10," - ")</f>
        <v>27</v>
      </c>
      <c r="F10" s="404">
        <f>IF(ISNUMBER(E10/B10),E10/B10," - ")</f>
        <v>27</v>
      </c>
      <c r="G10" s="403">
        <f>IF(ISNUMBER(Datos!K10),Datos!K10," - ")</f>
        <v>32</v>
      </c>
      <c r="H10" s="404">
        <f>IF(ISNUMBER(G10/B10),G10/B10," - ")</f>
        <v>32</v>
      </c>
      <c r="I10" s="403">
        <f>IF(ISNUMBER(Datos!L10),Datos!L10," - ")</f>
        <v>94</v>
      </c>
      <c r="J10" s="404">
        <f>IF(ISNUMBER(I10/B10),I10/B10," - ")</f>
        <v>94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8511</v>
      </c>
      <c r="D13" s="850" t="str">
        <f>IF(ISNUMBER(C13/Datos!BI13),C13/Datos!BI13," - ")</f>
        <v xml:space="preserve"> - </v>
      </c>
      <c r="E13" s="849">
        <f>SUBTOTAL(9,E8:E12)</f>
        <v>1680</v>
      </c>
      <c r="F13" s="850">
        <f>IF(ISNUMBER(E13/B13),E13/B13," - ")</f>
        <v>240</v>
      </c>
      <c r="G13" s="849">
        <f>SUBTOTAL(9,G8:G12)</f>
        <v>3392</v>
      </c>
      <c r="H13" s="850">
        <f>IF(ISNUMBER(G13/B13),G13/B13," - ")</f>
        <v>484.57142857142856</v>
      </c>
      <c r="I13" s="849">
        <f>SUBTOTAL(9,I8:I12)</f>
        <v>6799</v>
      </c>
      <c r="J13" s="850">
        <f>IF(ISNUMBER(I13/B13),I13/B13," - ")</f>
        <v>971.28571428571433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1142</v>
      </c>
      <c r="D15" s="404">
        <f>IF(ISNUMBER(C15/Datos!BH15),C15/Datos!BH15," - ")</f>
        <v>285.5</v>
      </c>
      <c r="E15" s="403">
        <f>IF(ISNUMBER(IF(D_I="SI",Datos!J15,Datos!J15+Datos!AD15)),IF(D_I="SI",Datos!J15,Datos!J15+Datos!AD15)," - ")</f>
        <v>1486</v>
      </c>
      <c r="F15" s="404">
        <f>IF(ISNUMBER(E15/B15),E15/B15," - ")</f>
        <v>371.5</v>
      </c>
      <c r="G15" s="403">
        <f>IF(ISNUMBER(IF(D_I="SI",Datos!K15,Datos!K15+Datos!AE15)),IF(D_I="SI",Datos!K15,Datos!K15+Datos!AE15)," - ")</f>
        <v>1563</v>
      </c>
      <c r="H15" s="404">
        <f>IF(ISNUMBER(G15/B15),G15/B15," - ")</f>
        <v>390.75</v>
      </c>
      <c r="I15" s="403">
        <f>IF(ISNUMBER(IF(D_I="SI",Datos!L15,Datos!L15+Datos!AF15)),IF(D_I="SI",Datos!L15,Datos!L15+Datos!AF15)," - ")</f>
        <v>1071</v>
      </c>
      <c r="J15" s="404">
        <f>IF(ISNUMBER(I15/B15),I15/B15," - ")</f>
        <v>267.75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250</v>
      </c>
      <c r="D17" s="404">
        <f>IF(ISNUMBER(C17/Datos!BH17),C17/Datos!BH17," - ")</f>
        <v>250</v>
      </c>
      <c r="E17" s="403">
        <f>IF(ISNUMBER(IF(D_I="SI",Datos!J17,Datos!J17+Datos!AD17)),IF(D_I="SI",Datos!J17,Datos!J17+Datos!AD17)," - ")</f>
        <v>796</v>
      </c>
      <c r="F17" s="404">
        <f>IF(ISNUMBER(E17/B17),E17/B17," - ")</f>
        <v>796</v>
      </c>
      <c r="G17" s="403">
        <f>IF(ISNUMBER(IF(D_I="SI",Datos!K17,Datos!K17+Datos!AE17)),IF(D_I="SI",Datos!K17,Datos!K17+Datos!AE17)," - ")</f>
        <v>786</v>
      </c>
      <c r="H17" s="404">
        <f>IF(ISNUMBER(G17/B17),G17/B17," - ")</f>
        <v>786</v>
      </c>
      <c r="I17" s="403">
        <f>IF(ISNUMBER(IF(D_I="SI",Datos!L17,Datos!L17+Datos!AF17)),IF(D_I="SI",Datos!L17,Datos!L17+Datos!AF17)," - ")</f>
        <v>261</v>
      </c>
      <c r="J17" s="404">
        <f>IF(ISNUMBER(I17/B17),I17/B17," - ")</f>
        <v>261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1392</v>
      </c>
      <c r="D18" s="850" t="str">
        <f>IF(ISNUMBER(C18/Datos!BI18),C18/Datos!BI18," - ")</f>
        <v xml:space="preserve"> - </v>
      </c>
      <c r="E18" s="849">
        <f>SUBTOTAL(9,E14:E17)</f>
        <v>2282</v>
      </c>
      <c r="F18" s="850">
        <f>IF(ISNUMBER(E18/B18),E18/B18," - ")</f>
        <v>456.4</v>
      </c>
      <c r="G18" s="849">
        <f>SUBTOTAL(9,G14:G17)</f>
        <v>2349</v>
      </c>
      <c r="H18" s="850">
        <f>IF(ISNUMBER(G18/B18),G18/B18," - ")</f>
        <v>469.8</v>
      </c>
      <c r="I18" s="849">
        <f>SUBTOTAL(9,I14:I17)</f>
        <v>1332</v>
      </c>
      <c r="J18" s="850">
        <f>IF(ISNUMBER(I18/B18),I18/B18," - ")</f>
        <v>266.39999999999998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11</v>
      </c>
      <c r="C19" s="794">
        <f>SUBTOTAL(9,C9:C18)</f>
        <v>9903</v>
      </c>
      <c r="D19" s="795" t="str">
        <f>IF(ISNUMBER(C19/Datos!BI19),C19/Datos!BI19," - ")</f>
        <v xml:space="preserve"> - </v>
      </c>
      <c r="E19" s="794">
        <f>SUBTOTAL(9,E9:E18)</f>
        <v>3962</v>
      </c>
      <c r="F19" s="795">
        <f>IF(ISNUMBER(E19/B19),E19/B19," - ")</f>
        <v>360.18181818181819</v>
      </c>
      <c r="G19" s="794">
        <f>SUBTOTAL(9,G9:G18)</f>
        <v>5741</v>
      </c>
      <c r="H19" s="795">
        <f>IF(ISNUMBER(G19/B19),G19/B19," - ")</f>
        <v>521.90909090909088</v>
      </c>
      <c r="I19" s="794">
        <f>SUBTOTAL(9,I9:I18)</f>
        <v>8131</v>
      </c>
      <c r="J19" s="795">
        <f>IF(ISNUMBER(I19/B19),I19/B19," - ")</f>
        <v>739.18181818181813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NzMtnKLkgVqMTu+SbPFA4/9qEyJsPwcIh97pHaH5AxBYu1bkxYXf+ykezgS2pvthLdBlla97k+7gcQRlNJdb0g==" saltValue="Sz7i6xaK5gfJZyTV/ZEu5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CADIZ</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99</v>
      </c>
      <c r="G10" s="684">
        <f>IF(ISNUMBER(Datos!I10),Datos!I10," - ")</f>
        <v>99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32</v>
      </c>
      <c r="AC10" s="683" t="str">
        <f>IF(ISNUMBER(IF(D_I="SI",DatosP!K17,DatosP!K17+DatosP!AE17)),IF(D_I="SI",DatosP!K17,DatosP!K17+DatosP!AE17)," - ")</f>
        <v xml:space="preserve"> - </v>
      </c>
      <c r="AD10" s="685"/>
      <c r="AE10" s="685"/>
      <c r="AF10" s="688">
        <f>IF(ISNUMBER(Datos!L10),Datos!L10,"-")</f>
        <v>94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15</v>
      </c>
      <c r="AM10" s="690">
        <f>IF(ISNUMBER(Datos!N10+DatosP!N17),Datos!N10+DatosP!N17," - ")</f>
        <v>13</v>
      </c>
      <c r="AN10" s="690">
        <f>IF(ISNUMBER(Datos!BW10+DatosP!BW17),Datos!BW10+DatosP!BW17," - ")</f>
        <v>0</v>
      </c>
      <c r="AO10" s="691">
        <f>IF(ISNUMBER(Datos!BX10+DatosP!BX17),Datos!BX10+DatosP!BX17," - ")</f>
        <v>0</v>
      </c>
      <c r="AP10" s="693">
        <f>IF(ISNUMBER(((Datos!L10/Datos!K10)*11)/factor_trimestre),((Datos!L10/Datos!K10)*11)/factor_trimestre," - ")</f>
        <v>8.8125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99</v>
      </c>
      <c r="G13" s="938">
        <f t="shared" si="0"/>
        <v>99</v>
      </c>
      <c r="H13" s="938">
        <f t="shared" si="0"/>
        <v>0</v>
      </c>
      <c r="I13" s="940">
        <f t="shared" si="0"/>
        <v>0</v>
      </c>
      <c r="J13" s="939">
        <f t="shared" si="0"/>
        <v>0</v>
      </c>
      <c r="K13" s="939">
        <f t="shared" si="0"/>
        <v>0</v>
      </c>
      <c r="L13" s="941">
        <f t="shared" si="0"/>
        <v>0</v>
      </c>
      <c r="M13" s="941">
        <f t="shared" si="0"/>
        <v>0</v>
      </c>
      <c r="N13" s="939">
        <f t="shared" si="0"/>
        <v>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32</v>
      </c>
      <c r="AC13" s="939">
        <f t="shared" si="1"/>
        <v>0</v>
      </c>
      <c r="AD13" s="939">
        <f t="shared" si="1"/>
        <v>0</v>
      </c>
      <c r="AE13" s="939">
        <f t="shared" si="1"/>
        <v>0</v>
      </c>
      <c r="AF13" s="939">
        <f t="shared" si="1"/>
        <v>94</v>
      </c>
      <c r="AG13" s="939">
        <f t="shared" si="1"/>
        <v>0</v>
      </c>
      <c r="AH13" s="939">
        <f t="shared" si="1"/>
        <v>0</v>
      </c>
      <c r="AI13" s="939">
        <f t="shared" si="1"/>
        <v>0</v>
      </c>
      <c r="AJ13" s="939">
        <f t="shared" si="1"/>
        <v>0</v>
      </c>
      <c r="AK13" s="939">
        <f t="shared" si="1"/>
        <v>0</v>
      </c>
      <c r="AL13" s="939">
        <f t="shared" si="1"/>
        <v>15</v>
      </c>
      <c r="AM13" s="939">
        <f t="shared" si="1"/>
        <v>13</v>
      </c>
      <c r="AN13" s="939">
        <f t="shared" si="1"/>
        <v>0</v>
      </c>
      <c r="AO13" s="939">
        <f t="shared" si="1"/>
        <v>0</v>
      </c>
      <c r="AP13" s="944">
        <f>IF(ISNUMBER(((Datos!L13/Datos!K13)*11)/factor_trimestre),((Datos!L13/Datos!K13)*11)/factor_trimestre," - ")</f>
        <v>5.9990772070132268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-0.32323232323232326</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1.7011494252873565</v>
      </c>
      <c r="AQ18" s="944">
        <f>IF(ISNUMBER(((Datos!M18/Datos!L18)*11)/factor_trimestre),((Datos!M18/Datos!L18)*11)/factor_trimestre," - ")</f>
        <v>0.69369369369369371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-3.3962264150943396E-2</v>
      </c>
      <c r="AW18" s="946">
        <f>IF(ISNUMBER((Datos!Q18-Datos!R18)/(Datos!S18-Datos!Q18+Datos!R18)),(Datos!Q18-Datos!R18)/(Datos!S18-Datos!Q18+Datos!R18)," - ")</f>
        <v>-8.6404066073697591E-2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99</v>
      </c>
      <c r="G19" s="951">
        <f t="shared" si="4"/>
        <v>99</v>
      </c>
      <c r="H19" s="951">
        <f t="shared" si="4"/>
        <v>0</v>
      </c>
      <c r="I19" s="952">
        <f t="shared" si="4"/>
        <v>0</v>
      </c>
      <c r="J19" s="953">
        <f t="shared" si="4"/>
        <v>0</v>
      </c>
      <c r="K19" s="953">
        <f t="shared" si="4"/>
        <v>0</v>
      </c>
      <c r="L19" s="953">
        <f t="shared" si="4"/>
        <v>0</v>
      </c>
      <c r="M19" s="953">
        <f t="shared" si="4"/>
        <v>0</v>
      </c>
      <c r="N19" s="952">
        <f t="shared" si="4"/>
        <v>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32</v>
      </c>
      <c r="AC19" s="957">
        <f t="shared" si="5"/>
        <v>0</v>
      </c>
      <c r="AD19" s="957">
        <f t="shared" si="5"/>
        <v>0</v>
      </c>
      <c r="AE19" s="957">
        <f t="shared" si="5"/>
        <v>0</v>
      </c>
      <c r="AF19" s="958">
        <f t="shared" si="5"/>
        <v>94</v>
      </c>
      <c r="AG19" s="958">
        <f t="shared" si="5"/>
        <v>0</v>
      </c>
      <c r="AH19" s="958">
        <f t="shared" si="5"/>
        <v>0</v>
      </c>
      <c r="AI19" s="958">
        <f t="shared" si="5"/>
        <v>0</v>
      </c>
      <c r="AJ19" s="959">
        <f t="shared" si="5"/>
        <v>0</v>
      </c>
      <c r="AK19" s="959">
        <f t="shared" si="5"/>
        <v>0</v>
      </c>
      <c r="AL19" s="951">
        <f t="shared" si="5"/>
        <v>15</v>
      </c>
      <c r="AM19" s="951">
        <f t="shared" si="5"/>
        <v>13</v>
      </c>
      <c r="AN19" s="951">
        <f t="shared" si="5"/>
        <v>0</v>
      </c>
      <c r="AO19" s="951">
        <f t="shared" si="5"/>
        <v>0</v>
      </c>
      <c r="AP19" s="951">
        <f>IF(ISNUMBER(((Datos!L19/Datos!K19)*11)/factor_trimestre),((Datos!L19/Datos!K19)*11)/factor_trimestre," - ")</f>
        <v>4.19625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-0.32323232323232326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4.1526030479697246E-2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3.2659863237109041</v>
      </c>
      <c r="F21" s="736">
        <f>IF(ISNUMBER(STDEV(F8:F18)),STDEV(F8:F18),"-")</f>
        <v>57.157676649772952</v>
      </c>
      <c r="G21" s="737">
        <f>IF(ISNUMBER(STDEV(G8:G18)),STDEV(G8:G18),"-")</f>
        <v>57.157676649772952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18.475208614068027</v>
      </c>
      <c r="AC21" s="738">
        <f>IF(ISNUMBER(STDEV(AC8:AC18)),STDEV(AC8:AC18),"-")</f>
        <v>0</v>
      </c>
      <c r="AD21" s="741"/>
      <c r="AE21" s="741"/>
      <c r="AF21" s="741"/>
      <c r="AG21" s="741"/>
      <c r="AH21" s="741"/>
      <c r="AI21" s="741"/>
      <c r="AJ21" s="742">
        <f>IF(ISNUMBER(STDEV(AJ8:AJ18)),STDEV(AJ8:AJ18),"-")</f>
        <v>0</v>
      </c>
      <c r="AK21" s="744"/>
      <c r="AL21" s="736">
        <f>IF(ISNUMBER(STDEV(AL8:AL18)),STDEV(AL8:AL18),"-")</f>
        <v>8.6602540378443873</v>
      </c>
      <c r="AM21" s="736"/>
      <c r="AN21" s="736">
        <f>IF(ISNUMBER(STDEV(AN8:AN18)),STDEV(AN8:AN18),"-")</f>
        <v>0</v>
      </c>
      <c r="AO21" s="742">
        <f>IF(ISNUMBER(STDEV(AO8:AO18)),STDEV(AO8:AO18),"-")</f>
        <v>0</v>
      </c>
      <c r="AP21" s="779">
        <f>IF(ISNUMBER(STDEV(AP8:AP18)),STDEV(AP8:AP18),"-")</f>
        <v>3.5814065678513893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ZtIM6ECI/DVrCj4EYLaxVll9atmrJoUBBrpPiy8Ib6PM5asc4K5liuJs6dDWoAHV5UYzOzl4ssdtXJolK35i3A==" saltValue="fE+ucbl0Sd1oL0a5GQbi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CADIZ</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wyoIM7OYC7+T9zdm7Dag2VlOb54vGZWXeNXGx0s/pVpGVVLfz4C9Cx9FYhm8i/0P7oMswhSvObOaK5OuD/hFbw==" saltValue="bsKgWF3KoPz3/fKOUo1P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CADIZ</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1330</v>
      </c>
      <c r="E9" s="404">
        <f t="shared" ref="E9:E13" si="0">IF(ISNUMBER(D9/B9),D9/B9," - ")</f>
        <v>221.66666666666666</v>
      </c>
      <c r="F9" s="403">
        <f>IF(ISNUMBER(Datos!N9),Datos!N9," - ")</f>
        <v>1220</v>
      </c>
      <c r="G9" s="404">
        <f t="shared" ref="G9:G13" si="1">IF(ISNUMBER(F9/B9),F9/B9," - ")</f>
        <v>203.33333333333334</v>
      </c>
      <c r="H9" s="403">
        <f>IF(ISNUMBER(Datos!O9),Datos!O9," - ")</f>
        <v>882</v>
      </c>
      <c r="I9" s="404">
        <f>IF(ISNUMBER(H9/B9),H9/B9," - ")</f>
        <v>147</v>
      </c>
      <c r="BZ9" s="1186">
        <f>Datos!EZ9</f>
        <v>0</v>
      </c>
    </row>
    <row r="10" spans="1:78">
      <c r="A10" s="402" t="str">
        <f>Datos!A10</f>
        <v>Jdos. Violencia contra la mujer</v>
      </c>
      <c r="B10" s="427">
        <f>Datos!AO10</f>
        <v>1</v>
      </c>
      <c r="C10" s="410">
        <f>Datos!AQ10</f>
        <v>1</v>
      </c>
      <c r="D10" s="403">
        <f>IF(ISNUMBER(Datos!M10),Datos!M10," - ")</f>
        <v>15</v>
      </c>
      <c r="E10" s="404">
        <f>IF(ISNUMBER(D10/B10),D10/B10," - ")</f>
        <v>15</v>
      </c>
      <c r="F10" s="403">
        <f>IF(ISNUMBER(Datos!N10),Datos!N10," - ")</f>
        <v>13</v>
      </c>
      <c r="G10" s="404">
        <f>IF(ISNUMBER(F10/B10),F10/B10," - ")</f>
        <v>13</v>
      </c>
      <c r="H10" s="403">
        <f>IF(ISNUMBER(Datos!O10),Datos!O10," - ")</f>
        <v>12</v>
      </c>
      <c r="I10" s="404">
        <f t="shared" ref="I10:I12" si="2">IF(ISNUMBER(H10/B10),H10/B10," - ")</f>
        <v>12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7</v>
      </c>
      <c r="C13" s="851">
        <f>Datos!AR13</f>
        <v>7</v>
      </c>
      <c r="D13" s="849">
        <f>SUBTOTAL(9,D9:D12)</f>
        <v>1345</v>
      </c>
      <c r="E13" s="850">
        <f t="shared" si="0"/>
        <v>192.14285714285714</v>
      </c>
      <c r="F13" s="849">
        <f>SUBTOTAL(9,F9:F12)</f>
        <v>1233</v>
      </c>
      <c r="G13" s="850">
        <f t="shared" si="1"/>
        <v>176.14285714285714</v>
      </c>
      <c r="H13" s="849">
        <f>SUBTOTAL(9,H9:H12)</f>
        <v>894</v>
      </c>
      <c r="I13" s="850">
        <f>IF(ISNUMBER(H13/B13),H13/B13," - ")</f>
        <v>127.71428571428571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241</v>
      </c>
      <c r="E15" s="404">
        <f t="shared" ref="E15:E18" si="3">IF(ISNUMBER(D15/B15),D15/B15," - ")</f>
        <v>60.25</v>
      </c>
      <c r="F15" s="403">
        <f>IF(ISNUMBER(Datos!N15),Datos!N15," - ")</f>
        <v>733</v>
      </c>
      <c r="G15" s="404">
        <f t="shared" ref="G15:G18" si="4">IF(ISNUMBER(F15/B15),F15/B15," - ")</f>
        <v>183.25</v>
      </c>
      <c r="H15" s="403">
        <f>IF(ISNUMBER(Datos!O15),Datos!O15," - ")</f>
        <v>76</v>
      </c>
      <c r="I15" s="404">
        <f t="shared" ref="I15:I17" si="5">IF(ISNUMBER(H15/B15),H15/B15," - ")</f>
        <v>19</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67</v>
      </c>
      <c r="E17" s="404">
        <f>IF(ISNUMBER(D17/B17),D17/B17," - ")</f>
        <v>67</v>
      </c>
      <c r="F17" s="403">
        <f>IF(ISNUMBER(Datos!N17),Datos!N17," - ")</f>
        <v>561</v>
      </c>
      <c r="G17" s="404">
        <f>IF(ISNUMBER(F17/B17),F17/B17," - ")</f>
        <v>561</v>
      </c>
      <c r="H17" s="403">
        <f>IF(ISNUMBER(Datos!O17),Datos!O17," - ")</f>
        <v>3</v>
      </c>
      <c r="I17" s="404">
        <f t="shared" si="5"/>
        <v>3</v>
      </c>
      <c r="BZ17" s="1186">
        <f>Datos!EZ17</f>
        <v>0</v>
      </c>
    </row>
    <row r="18" spans="1:78" ht="14.25" thickTop="1" thickBot="1">
      <c r="A18" s="848" t="str">
        <f>Datos!A18</f>
        <v>TOTAL</v>
      </c>
      <c r="B18" s="849">
        <f>Datos!AP18</f>
        <v>5</v>
      </c>
      <c r="C18" s="851">
        <f>Datos!AR18</f>
        <v>5</v>
      </c>
      <c r="D18" s="849">
        <f>SUBTOTAL(9,D15:D17)</f>
        <v>308</v>
      </c>
      <c r="E18" s="850">
        <f t="shared" si="3"/>
        <v>61.6</v>
      </c>
      <c r="F18" s="849">
        <f>SUBTOTAL(9,F15:F17)</f>
        <v>1294</v>
      </c>
      <c r="G18" s="850">
        <f t="shared" si="4"/>
        <v>258.8</v>
      </c>
      <c r="H18" s="849">
        <f>SUBTOTAL(9,H15:H17)</f>
        <v>79</v>
      </c>
      <c r="I18" s="850">
        <f>IF(ISNUMBER(H18/B18),H18/B18," - ")</f>
        <v>15.8</v>
      </c>
      <c r="BZ18" s="1186"/>
    </row>
    <row r="19" spans="1:78" ht="14.25" thickTop="1" thickBot="1">
      <c r="A19" s="793" t="str">
        <f>Datos!A19</f>
        <v>TOTAL JURISDICCIONES</v>
      </c>
      <c r="B19" s="794">
        <f>Datos!AP19</f>
        <v>11</v>
      </c>
      <c r="C19" s="794">
        <f>Datos!AR19</f>
        <v>11</v>
      </c>
      <c r="D19" s="794">
        <f>SUBTOTAL(9,D8:D18)</f>
        <v>1653</v>
      </c>
      <c r="E19" s="795">
        <f>IF(ISNUMBER(D19/B19),D19/B19," - ")</f>
        <v>150.27272727272728</v>
      </c>
      <c r="F19" s="794">
        <f>SUBTOTAL(9,F8:F18)</f>
        <v>2527</v>
      </c>
      <c r="G19" s="795">
        <f>IF(ISNUMBER(F19/B19),F19/B19," - ")</f>
        <v>229.72727272727272</v>
      </c>
      <c r="H19" s="794">
        <f>SUBTOTAL(9,H8:H18)</f>
        <v>973</v>
      </c>
      <c r="I19" s="795">
        <f>IF(ISNUMBER(H19/B19),H19/B19," - ")</f>
        <v>88.454545454545453</v>
      </c>
    </row>
    <row r="22" spans="1:78">
      <c r="A22" s="391" t="str">
        <f>Criterios!A4</f>
        <v>Fecha Informe: 24 sep. 2025</v>
      </c>
    </row>
    <row r="27" spans="1:78">
      <c r="A27" s="414"/>
    </row>
  </sheetData>
  <sheetProtection algorithmName="SHA-512" hashValue="Aj2ZRa33fgZYpscQ4W1kLrQr0nujOymXs3UMFC1lTld8/Xm5CNeSpiueISXqSAZL+5zazFy9xzRZdeMFPHCFbg==" saltValue="q7HcCIWrCAQcDx6IUoE3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CADIZ</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804</v>
      </c>
      <c r="C9" s="434">
        <f>IF(ISNUMBER(Datos!Q9),Datos!Q9," - ")</f>
        <v>386</v>
      </c>
      <c r="D9" s="408">
        <f>IF(ISNUMBER(Datos!R9),Datos!R9," - ")</f>
        <v>9875</v>
      </c>
    </row>
    <row r="10" spans="1:4">
      <c r="A10" s="402" t="str">
        <f>Datos!A10</f>
        <v>Jdos. Violencia contra la mujer</v>
      </c>
      <c r="B10" s="433">
        <f>IF(ISNUMBER(Datos!P10),Datos!P10," - ")</f>
        <v>5</v>
      </c>
      <c r="C10" s="434">
        <f>IF(ISNUMBER(Datos!Q10),Datos!Q10," - ")</f>
        <v>8</v>
      </c>
      <c r="D10" s="408">
        <f>IF(ISNUMBER(Datos!R10),Datos!R10," - ")</f>
        <v>52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809</v>
      </c>
      <c r="C13" s="853">
        <f>SUBTOTAL(9,C9:C12)</f>
        <v>394</v>
      </c>
      <c r="D13" s="851">
        <f>SUBTOTAL(9,D9:D12)</f>
        <v>9927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103</v>
      </c>
      <c r="C15" s="434">
        <f>IF(ISNUMBER(Datos!Q15),Datos!Q15," - ")</f>
        <v>117</v>
      </c>
      <c r="D15" s="408">
        <f>IF(ISNUMBER(Datos!R15),Datos!R15," - ")</f>
        <v>233</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8</v>
      </c>
      <c r="C17" s="434">
        <f>IF(ISNUMBER(Datos!Q17),Datos!Q17," - ")</f>
        <v>3</v>
      </c>
      <c r="D17" s="408">
        <f>IF(ISNUMBER(Datos!R17),Datos!R17," - ")</f>
        <v>23</v>
      </c>
    </row>
    <row r="18" spans="1:4" ht="14.25" thickTop="1" thickBot="1">
      <c r="A18" s="848" t="str">
        <f>Datos!A18</f>
        <v>TOTAL</v>
      </c>
      <c r="B18" s="849">
        <f>SUBTOTAL(9,B15:B17)</f>
        <v>111</v>
      </c>
      <c r="C18" s="853">
        <f>SUBTOTAL(9,C15:C17)</f>
        <v>120</v>
      </c>
      <c r="D18" s="851">
        <f>SUBTOTAL(9,D15:D17)</f>
        <v>256</v>
      </c>
    </row>
    <row r="19" spans="1:4" ht="16.5" customHeight="1" thickTop="1" thickBot="1">
      <c r="A19" s="793" t="str">
        <f>Datos!A19</f>
        <v>TOTAL JURISDICCIONES</v>
      </c>
      <c r="B19" s="798">
        <f>SUBTOTAL(9,B8:B18)</f>
        <v>920</v>
      </c>
      <c r="C19" s="799">
        <f>SUBTOTAL(9,C8:C18)</f>
        <v>514</v>
      </c>
      <c r="D19" s="800">
        <f>SUBTOTAL(9,D8:D18)</f>
        <v>10183</v>
      </c>
    </row>
    <row r="20" spans="1:4" ht="7.5" customHeight="1"/>
    <row r="21" spans="1:4" ht="6" customHeight="1"/>
    <row r="22" spans="1:4">
      <c r="A22" s="391" t="str">
        <f>Criterios!A4</f>
        <v>Fecha Informe: 24 sep. 2025</v>
      </c>
    </row>
    <row r="27" spans="1:4">
      <c r="A27" s="414"/>
    </row>
  </sheetData>
  <sheetProtection algorithmName="SHA-512" hashValue="cU5b3D5nrg+sIFKhx8yiv/CQ9dG4PTJa/GYx1XnwznP4uIRvXQyJBsiX5qI8wUjo5yU9weM2YrB11dSZK+tvFw==" saltValue="b4S5eQnLu/JUnC8/98q5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CADIZ</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-0.28898656073028484</v>
      </c>
      <c r="C9" s="456">
        <f>IF(ISNUMBER(
   IF(J_V="SI",(Datos!J9-Datos!T9)/Datos!T9,(Datos!J9+Datos!Z9-(Datos!T9+Datos!AH9))/(Datos!T9+Datos!AH9))
     ),IF(J_V="SI",(Datos!J9-Datos!T9)/Datos!T9,(Datos!J9+Datos!Z9-(Datos!T9+Datos!AH9))/(Datos!T9+Datos!AH9))," - ")</f>
        <v>-0.23613678373382624</v>
      </c>
      <c r="D9" s="456">
        <f>IF(ISNUMBER(
   IF(J_V="SI",(Datos!K9-Datos!U9)/Datos!U9,(Datos!K9+Datos!AA9-(Datos!U9+Datos!AI9))/(Datos!U9+Datos!AI9))
     ),IF(J_V="SI",(Datos!K9-Datos!U9)/Datos!U9,(Datos!K9+Datos!AA9-(Datos!U9+Datos!AI9))/(Datos!U9+Datos!AI9))," - ")</f>
        <v>2.9727244866687097E-2</v>
      </c>
      <c r="E9" s="456">
        <f>IF(ISNUMBER(
   IF(J_V="SI",(Datos!L9-Datos!V9)/Datos!V9,(Datos!L9+Datos!AB9-(Datos!V9+Datos!AJ9))/(Datos!V9+Datos!AJ9))
     ),IF(J_V="SI",(Datos!L9-Datos!V9)/Datos!V9,(Datos!L9+Datos!AB9-(Datos!V9+Datos!AJ9))/(Datos!V9+Datos!AJ9))," - ")</f>
        <v>-0.375232948192322</v>
      </c>
      <c r="F9" s="456">
        <f>IF(ISNUMBER((Datos!M9-Datos!W9)/Datos!W9),(Datos!M9-Datos!W9)/Datos!W9," - ")</f>
        <v>4.2319749216300939E-2</v>
      </c>
      <c r="G9" s="457">
        <f>IF(ISNUMBER((Datos!N9-Datos!X9)/Datos!X9),(Datos!N9-Datos!X9)/Datos!X9," - ")</f>
        <v>0.1596958174904943</v>
      </c>
      <c r="H9" s="455">
        <f>IF(ISNUMBER(((NºAsuntos!G9/NºAsuntos!E9)-Datos!BD9)/Datos!BD9),((NºAsuntos!G9/NºAsuntos!E9)-Datos!BD9)/Datos!BD9," - ")</f>
        <v>0.3480518801521541</v>
      </c>
      <c r="I9" s="456">
        <f>IF(ISNUMBER(((NºAsuntos!I9/NºAsuntos!G9)-Datos!BE9)/Datos!BE9),((NºAsuntos!I9/NºAsuntos!G9)-Datos!BE9)/Datos!BE9," - ")</f>
        <v>-0.39326937796176992</v>
      </c>
      <c r="J9" s="461">
        <f>IF(ISNUMBER((('Resol  Asuntos'!D9/NºAsuntos!G9)-Datos!BF9)/Datos!BF9),(('Resol  Asuntos'!D9/NºAsuntos!G9)-Datos!BF9)/Datos!BF9," - ")</f>
        <v>0.22776061470215461</v>
      </c>
      <c r="K9" s="462">
        <f>IF(ISNUMBER((((NºAsuntos!C9+NºAsuntos!E9)/NºAsuntos!G9)-Datos!BG9)/Datos!BG9),(((NºAsuntos!C9+NºAsuntos!E9)/NºAsuntos!G9)-Datos!BG9)/Datos!BG9," - ")</f>
        <v>-0.30157677486857543</v>
      </c>
    </row>
    <row r="10" spans="1:11">
      <c r="A10" s="402" t="str">
        <f>Datos!A10</f>
        <v>Jdos. Violencia contra la mujer</v>
      </c>
      <c r="B10" s="455">
        <f>IF(ISNUMBER((Datos!I10-Datos!S10)/Datos!S10),(Datos!I10-Datos!S10)/Datos!S10," - ")</f>
        <v>0.5</v>
      </c>
      <c r="C10" s="456">
        <f>IF(ISNUMBER((Datos!J10-Datos!T10)/Datos!T10),(Datos!J10-Datos!T10)/Datos!T10," - ")</f>
        <v>-0.28947368421052633</v>
      </c>
      <c r="D10" s="456">
        <f>IF(ISNUMBER((Datos!K10-Datos!U10)/Datos!U10),(Datos!K10-Datos!U10)/Datos!U10," - ")</f>
        <v>-0.21951219512195122</v>
      </c>
      <c r="E10" s="456">
        <f>IF(ISNUMBER((Datos!L10-Datos!V10)/Datos!V10),(Datos!L10-Datos!V10)/Datos!V10," - ")</f>
        <v>0.49206349206349204</v>
      </c>
      <c r="F10" s="456">
        <f>IF(ISNUMBER((Datos!M10-Datos!W10)/Datos!W10),(Datos!M10-Datos!W10)/Datos!W10," - ")</f>
        <v>0</v>
      </c>
      <c r="G10" s="457">
        <f>IF(ISNUMBER((Datos!N10-Datos!X10)/Datos!X10),(Datos!N10-Datos!X10)/Datos!X10," - ")</f>
        <v>-0.35</v>
      </c>
      <c r="H10" s="455">
        <f>IF(ISNUMBER(((NºAsuntos!G10/NºAsuntos!E10)-Datos!BD10)/Datos!BD10),((NºAsuntos!G10/NºAsuntos!E10)-Datos!BD10)/Datos!BD10," - ")</f>
        <v>9.8464317976513019E-2</v>
      </c>
      <c r="I10" s="456">
        <f>IF(ISNUMBER(((NºAsuntos!I10/NºAsuntos!G10)-Datos!BE10)/Datos!BE10),((NºAsuntos!I10/NºAsuntos!G10)-Datos!BE10)/Datos!BE10," - ")</f>
        <v>0.91170634920634919</v>
      </c>
      <c r="J10" s="461">
        <f>IF(ISNUMBER((('Resol  Asuntos'!D10/NºAsuntos!G10)-Datos!BF10)/Datos!BF10),(('Resol  Asuntos'!D10/NºAsuntos!G10)-Datos!BF10)/Datos!BF10," - ")</f>
        <v>0.28125000000000006</v>
      </c>
      <c r="K10" s="462">
        <f>IF(ISNUMBER((((NºAsuntos!C10+NºAsuntos!E10)/NºAsuntos!G10)-Datos!BG10)/Datos!BG10),(((NºAsuntos!C10+NºAsuntos!E10)/NºAsuntos!G10)-Datos!BG10)/Datos!BG10," - ")</f>
        <v>0.55228365384615385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-0.28460956543666471</v>
      </c>
      <c r="C13" s="855">
        <f>IF(ISNUMBER(
   IF(J_V="SI",(Datos!J13-Datos!T13)/Datos!T13,(Datos!J13+Datos!Z13-(Datos!T13+Datos!AH13))/(Datos!T13+Datos!AH13))
     ),IF(J_V="SI",(Datos!J13-Datos!T13)/Datos!T13,(Datos!J13+Datos!Z13-(Datos!T13+Datos!AH13))/(Datos!T13+Datos!AH13))," - ")</f>
        <v>-0.23705722070844687</v>
      </c>
      <c r="D13" s="855">
        <f>IF(ISNUMBER(
   IF(J_V="SI",(Datos!K13-Datos!U13)/Datos!U13,(Datos!K13+Datos!AA13-(Datos!U13+Datos!AI13))/(Datos!U13+Datos!AI13))
     ),IF(J_V="SI",(Datos!K13-Datos!U13)/Datos!U13,(Datos!K13+Datos!AA13-(Datos!U13+Datos!AI13))/(Datos!U13+Datos!AI13))," - ")</f>
        <v>2.6634382566585957E-2</v>
      </c>
      <c r="E13" s="855">
        <f>IF(ISNUMBER(
   IF(J_V="SI",(Datos!L13-Datos!V13)/Datos!V13,(Datos!L13+Datos!AB13-(Datos!V13+Datos!AJ13))/(Datos!V13+Datos!AJ13))
     ),IF(J_V="SI",(Datos!L13-Datos!V13)/Datos!V13,(Datos!L13+Datos!AB13-(Datos!V13+Datos!AJ13))/(Datos!V13+Datos!AJ13))," - ")</f>
        <v>-0.37017137563686892</v>
      </c>
      <c r="F13" s="856">
        <f>IF(ISNUMBER((Datos!M13-Datos!W13)/Datos!W13),(Datos!M13-Datos!W13)/Datos!W13," - ")</f>
        <v>4.1828040278853604E-2</v>
      </c>
      <c r="G13" s="857">
        <f>IF(ISNUMBER((Datos!N13-Datos!X13)/Datos!X13),(Datos!N13-Datos!X13)/Datos!X13," - ")</f>
        <v>0.15018656716417911</v>
      </c>
      <c r="H13" s="857">
        <f>IF(ISNUMBER(((NºAsuntos!G13/NºAsuntos!E13)-Datos!BD13)/Datos!BD13),((NºAsuntos!G13/NºAsuntos!E13)-Datos!BD13)/Datos!BD13," - ")</f>
        <v>0.34562435143548947</v>
      </c>
      <c r="I13" s="857">
        <f>IF(ISNUMBER(((NºAsuntos!I13/NºAsuntos!G13)-Datos!BE13)/Datos!BE13),((NºAsuntos!I13/NºAsuntos!G13)-Datos!BE13)/Datos!BE13," - ")</f>
        <v>-0.38651126919345957</v>
      </c>
      <c r="J13" s="857">
        <f>IF(ISNUMBER((('Resol  Asuntos'!D13/NºAsuntos!G13)-Datos!BF13)/Datos!BF13),(('Resol  Asuntos'!D13/NºAsuntos!G13)-Datos!BF13)/Datos!BF13," - ")</f>
        <v>0.22784079857120121</v>
      </c>
      <c r="K13" s="857">
        <f>IF(ISNUMBER((((NºAsuntos!C13+NºAsuntos!E13)/NºAsuntos!G13)-Datos!BG13)/Datos!BG13),(((NºAsuntos!C13+NºAsuntos!E13)/NºAsuntos!G13)-Datos!BG13)/Datos!BG13," - ")</f>
        <v>-0.29593511248623278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-6.3934426229508193E-2</v>
      </c>
      <c r="C15" s="456">
        <f>IF(ISNUMBER(
   IF(D_I="SI",(Datos!J15-Datos!T15)/Datos!T15,(Datos!J15+Datos!AD15-(Datos!T15+Datos!AL15))/(Datos!T15+Datos!AL15))
     ),IF(D_I="SI",(Datos!J15-Datos!T15)/Datos!T15,(Datos!J15+Datos!AD15-(Datos!T15+Datos!AL15))/(Datos!T15+Datos!AL15))," - ")</f>
        <v>-0.11283582089552238</v>
      </c>
      <c r="D15" s="456">
        <f>IF(ISNUMBER(
   IF(D_I="SI",(Datos!K15-Datos!U15)/Datos!U15,(Datos!K15+Datos!AE15-(Datos!U15+Datos!AM15))/(Datos!U15+Datos!AM15))
     ),IF(D_I="SI",(Datos!K15-Datos!U15)/Datos!U15,(Datos!K15+Datos!AE15-(Datos!U15+Datos!AM15))/(Datos!U15+Datos!AM15))," - ")</f>
        <v>-0.13503043718871058</v>
      </c>
      <c r="E15" s="456">
        <f>IF(ISNUMBER(
   IF(D_I="SI",(Datos!L15-Datos!V15)/Datos!V15,(Datos!L15+Datos!AF15-(Datos!V15+Datos!AN15))/(Datos!V15+Datos!AN15))
     ),IF(D_I="SI",(Datos!L15-Datos!V15)/Datos!V15,(Datos!L15+Datos!AF15-(Datos!V15+Datos!AN15))/(Datos!V15+Datos!AN15))," - ")</f>
        <v>-2.1023765996343691E-2</v>
      </c>
      <c r="F15" s="456">
        <f>IF(ISNUMBER((Datos!M15-Datos!W15)/Datos!W15),(Datos!M15-Datos!W15)/Datos!W15," - ")</f>
        <v>-0.27190332326283989</v>
      </c>
      <c r="G15" s="457">
        <f>IF(ISNUMBER((Datos!N15-Datos!X15)/Datos!X15),(Datos!N15-Datos!X15)/Datos!X15," - ")</f>
        <v>-0.30323193916349811</v>
      </c>
      <c r="H15" s="455">
        <f>IF(ISNUMBER(((NºAsuntos!G15/NºAsuntos!E15)-Datos!BD15)/Datos!BD15),((NºAsuntos!G15/NºAsuntos!E15)-Datos!BD15)/Datos!BD15," - ")</f>
        <v>-2.501748471809586E-2</v>
      </c>
      <c r="I15" s="456">
        <f>IF(ISNUMBER(((NºAsuntos!I15/NºAsuntos!G15)-Datos!BE15)/Datos!BE15),((NºAsuntos!I15/NºAsuntos!G15)-Datos!BE15)/Datos!BE15," - ")</f>
        <v>0.13180425773807228</v>
      </c>
      <c r="J15" s="461">
        <f>IF(ISNUMBER((('Resol  Asuntos'!D15/NºAsuntos!G15)-Datos!BF15)/Datos!BF15),(('Resol  Asuntos'!D15/NºAsuntos!G15)-Datos!BF15)/Datos!BF15," - ")</f>
        <v>-0.15824011844910529</v>
      </c>
      <c r="K15" s="462">
        <f>IF(ISNUMBER((((NºAsuntos!C15+NºAsuntos!E15)/NºAsuntos!G15)-Datos!BG15)/Datos!BG15),(((NºAsuntos!C15+NºAsuntos!E15)/NºAsuntos!G15)-Datos!BG15)/Datos!BG15," - ")</f>
        <v>4.9484351536005902E-2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0.14678899082568808</v>
      </c>
      <c r="C17" s="456">
        <f>IF(ISNUMBER(
   IF(D_I="SI",(Datos!J17-Datos!T17)/Datos!T17,(Datos!J17+Datos!AD17-(Datos!T17+Datos!AL17))/(Datos!T17+Datos!AL17))
     ),IF(D_I="SI",(Datos!J17-Datos!T17)/Datos!T17,(Datos!J17+Datos!AD17-(Datos!T17+Datos!AL17))/(Datos!T17+Datos!AL17))," - ")</f>
        <v>0.2360248447204969</v>
      </c>
      <c r="D17" s="456">
        <f>IF(ISNUMBER(
   IF(D_I="SI",(Datos!K17-Datos!U17)/Datos!U17,(Datos!K17+Datos!AE17-(Datos!U17+Datos!AM17))/(Datos!U17+Datos!AM17))
     ),IF(D_I="SI",(Datos!K17-Datos!U17)/Datos!U17,(Datos!K17+Datos!AE17-(Datos!U17+Datos!AM17))/(Datos!U17+Datos!AM17))," - ")</f>
        <v>0.39115044247787611</v>
      </c>
      <c r="E17" s="456">
        <f>IF(ISNUMBER(
   IF(D_I="SI",(Datos!L17-Datos!V17)/Datos!V17,(Datos!L17+Datos!AF17-(Datos!V17+Datos!AN17))/(Datos!V17+Datos!AN17))
     ),IF(D_I="SI",(Datos!L17-Datos!V17)/Datos!V17,(Datos!L17+Datos!AF17-(Datos!V17+Datos!AN17))/(Datos!V17+Datos!AN17))," - ")</f>
        <v>0.2857142857142857</v>
      </c>
      <c r="F17" s="456">
        <f>IF(ISNUMBER((Datos!M17-Datos!W17)/Datos!W17),(Datos!M17-Datos!W17)/Datos!W17," - ")</f>
        <v>0.71794871794871795</v>
      </c>
      <c r="G17" s="457">
        <f>IF(ISNUMBER((Datos!N17-Datos!X17)/Datos!X17),(Datos!N17-Datos!X17)/Datos!X17," - ")</f>
        <v>0.33571428571428569</v>
      </c>
      <c r="H17" s="455">
        <f>IF(ISNUMBER(((NºAsuntos!G17/NºAsuntos!E17)-Datos!BD17)/Datos!BD17),((NºAsuntos!G17/NºAsuntos!E17)-Datos!BD17)/Datos!BD17," - ")</f>
        <v>0.12550362431627168</v>
      </c>
      <c r="I17" s="456">
        <f>IF(ISNUMBER(((NºAsuntos!I17/NºAsuntos!G17)-Datos!BE17)/Datos!BE17),((NºAsuntos!I17/NºAsuntos!G17)-Datos!BE17)/Datos!BE17," - ")</f>
        <v>-7.5790621592148263E-2</v>
      </c>
      <c r="J17" s="461">
        <f>IF(ISNUMBER((('Resol  Asuntos'!D17/NºAsuntos!G17)-Datos!BF17)/Datos!BF17),(('Resol  Asuntos'!D17/NºAsuntos!G17)-Datos!BF17)/Datos!BF17," - ")</f>
        <v>0.23491224636262803</v>
      </c>
      <c r="K17" s="462">
        <f>IF(ISNUMBER((((NºAsuntos!C17+NºAsuntos!E17)/NºAsuntos!G17)-Datos!BG17)/Datos!BG17),(((NºAsuntos!C17+NºAsuntos!E17)/NºAsuntos!G17)-Datos!BG17)/Datos!BG17," - ")</f>
        <v>-0.12773123631060976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-3.1988873435326845E-2</v>
      </c>
      <c r="C18" s="855">
        <f>IF(ISNUMBER(
   IF(Criterios!B14="SI",(Datos!J18-Datos!T18)/Datos!T18,(Datos!J18+Datos!AD18-(Datos!T18+Datos!AL18))/(Datos!T18+Datos!AL18))
     ),IF(Criterios!B14="SI",(Datos!J18-Datos!T18)/Datos!T18,(Datos!J18+Datos!AD18-(Datos!T18+Datos!AL18))/(Datos!T18+Datos!AL18))," - ")</f>
        <v>-1.5955153083225527E-2</v>
      </c>
      <c r="D18" s="855">
        <f>IF(ISNUMBER(
   IF(Criterios!B14="SI",(Datos!K18-Datos!U18)/Datos!U18,(Datos!K18+Datos!AE18-(Datos!U18+Datos!AM18))/(Datos!U18+Datos!AM18))
     ),IF(Criterios!B14="SI",(Datos!K18-Datos!U18)/Datos!U18,(Datos!K18+Datos!AE18-(Datos!U18+Datos!AM18))/(Datos!U18+Datos!AM18))," - ")</f>
        <v>-9.6964586846543001E-3</v>
      </c>
      <c r="E18" s="855">
        <f>IF(ISNUMBER(
   IF(Criterios!B14="SI",(Datos!L18-Datos!V18)/Datos!V18,(Datos!L18+Datos!AF18-(Datos!V18+Datos!AN18))/(Datos!V18+Datos!AN18))
     ),IF(Criterios!B14="SI",(Datos!L18-Datos!V18)/Datos!V18,(Datos!L18+Datos!AF18-(Datos!V18+Datos!AN18))/(Datos!V18+Datos!AN18))," - ")</f>
        <v>2.6985350809560524E-2</v>
      </c>
      <c r="F18" s="856">
        <f>IF(ISNUMBER((Datos!M18-Datos!W18)/Datos!W18),(Datos!M18-Datos!W18)/Datos!W18," - ")</f>
        <v>-0.16756756756756758</v>
      </c>
      <c r="G18" s="857">
        <f>IF(ISNUMBER((Datos!N18-Datos!X18)/Datos!X18),(Datos!N18-Datos!X18)/Datos!X18," - ")</f>
        <v>-0.12092391304347826</v>
      </c>
      <c r="H18" s="857">
        <f>IF(ISNUMBER(((NºAsuntos!G18/NºAsuntos!E18)-Datos!BD18)/Datos!BD18),((NºAsuntos!G18/NºAsuntos!E18)-Datos!BD18)/Datos!BD18," - ")</f>
        <v>6.3601719151123986E-3</v>
      </c>
      <c r="I18" s="857">
        <f>IF(ISNUMBER(((NºAsuntos!I18/NºAsuntos!G18)-Datos!BE18)/Datos!BE18),((NºAsuntos!I18/NºAsuntos!G18)-Datos!BE18)/Datos!BE18," - ")</f>
        <v>3.7040975785558775E-2</v>
      </c>
      <c r="J18" s="857">
        <f>IF(ISNUMBER((('Resol  Asuntos'!D18/NºAsuntos!G18)-Datos!BF18)/Datos!BF18),(('Resol  Asuntos'!D18/NºAsuntos!G18)-Datos!BF18)/Datos!BF18," - ")</f>
        <v>-0.15941688815252039</v>
      </c>
      <c r="K18" s="857">
        <f>IF(ISNUMBER((((NºAsuntos!C18+NºAsuntos!E18)/NºAsuntos!G18)-Datos!BG18)/Datos!BG18),(((NºAsuntos!C18+NºAsuntos!E18)/NºAsuntos!G18)-Datos!BG18)/Datos!BG18," - ")</f>
        <v>-1.251700671022144E-2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-0.25736782902137234</v>
      </c>
      <c r="C19" s="802">
        <f>IF(ISNUMBER(
   IF(J_V="SI",(Datos!J19-Datos!T19)/Datos!T19,(Datos!J19+Datos!Z19-(Datos!T19+Datos!AH19))/(Datos!T19+Datos!AH19))
     ),IF(J_V="SI",(Datos!J19-Datos!T19)/Datos!T19,(Datos!J19+Datos!Z19-(Datos!T19+Datos!AH19))/(Datos!T19+Datos!AH19))," - ")</f>
        <v>-0.12364521123645211</v>
      </c>
      <c r="D19" s="802">
        <f>IF(ISNUMBER(
   IF(J_V="SI",(Datos!K19-Datos!U19)/Datos!U19,(Datos!K19+Datos!AA19-(Datos!U19+Datos!AI19))/(Datos!U19+Datos!AI19))
     ),IF(J_V="SI",(Datos!K19-Datos!U19)/Datos!U19,(Datos!K19+Datos!AA19-(Datos!U19+Datos!AI19))/(Datos!U19+Datos!AI19))," - ")</f>
        <v>1.1451726568005638E-2</v>
      </c>
      <c r="E19" s="802">
        <f>IF(ISNUMBER(
   IF(J_V="SI",(Datos!L19-Datos!V19)/Datos!V19,(Datos!L19+Datos!AB19-(Datos!V19+Datos!AJ19))/(Datos!V19+Datos!AJ19))
     ),IF(J_V="SI",(Datos!L19-Datos!V19)/Datos!V19,(Datos!L19+Datos!AB19-(Datos!V19+Datos!AJ19))/(Datos!V19+Datos!AJ19))," - ")</f>
        <v>-0.32757194839563347</v>
      </c>
      <c r="F19" s="803">
        <f>IF(ISNUMBER((Datos!M19-Datos!W19)/Datos!W19),(Datos!M19-Datos!W19)/Datos!W19," - ")</f>
        <v>-4.8163756773028296E-3</v>
      </c>
      <c r="G19" s="804">
        <f>IF(ISNUMBER((Datos!N19-Datos!X19)/Datos!X19),(Datos!N19-Datos!X19)/Datos!X19," - ")</f>
        <v>-6.6823899371069185E-3</v>
      </c>
      <c r="H19" s="805">
        <f>IF(ISNUMBER((Tasas!B19-Datos!BD19)/Datos!BD19),(Tasas!B19-Datos!BD19)/Datos!BD19," - ")</f>
        <v>0.1541578131786859</v>
      </c>
      <c r="I19" s="806">
        <f>IF(ISNUMBER((Tasas!C19-Datos!BE19)/Datos!BE19),(Tasas!C19-Datos!BE19)/Datos!BE19," - ")</f>
        <v>-0.33518522541257889</v>
      </c>
      <c r="J19" s="807">
        <f>IF(ISNUMBER((Tasas!D19-Datos!BF19)/Datos!BF19),(Tasas!D19-Datos!BF19)/Datos!BF19," - ")</f>
        <v>0.13728922714285677</v>
      </c>
      <c r="K19" s="807">
        <f>IF(ISNUMBER((Tasas!E19-Datos!BG19)/Datos!BG19),(Tasas!E19-Datos!BG19)/Datos!BG19," - ")</f>
        <v>-0.23230177482099146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neHQVdA8KwaFNuF3PyzuqnVuM7w+s+GEVSoO15ZQ7DT62mipSwd2YuaQKphirnpoIuGXi8kUm8fPsjpxN6he2A==" saltValue="RP6EYalty5KR12lHt6t1l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CADIZ</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2.0326678765880217</v>
      </c>
      <c r="C9" s="443">
        <f>IF(ISNUMBER(NºAsuntos!I9/NºAsuntos!G9),NºAsuntos!I9/NºAsuntos!G9," - ")</f>
        <v>1.9955357142857142</v>
      </c>
      <c r="D9" s="444">
        <f>IF(ISNUMBER('Resol  Asuntos'!D9/NºAsuntos!G9),'Resol  Asuntos'!D9/NºAsuntos!G9," - ")</f>
        <v>0.39583333333333331</v>
      </c>
      <c r="E9" s="445">
        <f>IF(ISNUMBER((NºAsuntos!C9+NºAsuntos!E9)/NºAsuntos!G9),(NºAsuntos!C9+NºAsuntos!E9)/NºAsuntos!G9," - ")</f>
        <v>2.9955357142857144</v>
      </c>
      <c r="G9" s="463"/>
    </row>
    <row r="10" spans="1:7">
      <c r="A10" s="402" t="str">
        <f>Datos!A10</f>
        <v>Jdos. Violencia contra la mujer</v>
      </c>
      <c r="B10" s="442">
        <f>IF(ISNUMBER(NºAsuntos!G10/NºAsuntos!E10),NºAsuntos!G10/NºAsuntos!E10," - ")</f>
        <v>1.1851851851851851</v>
      </c>
      <c r="C10" s="443">
        <f>IF(ISNUMBER(NºAsuntos!I10/NºAsuntos!G10),NºAsuntos!I10/NºAsuntos!G10," - ")</f>
        <v>2.9375</v>
      </c>
      <c r="D10" s="444">
        <f>IF(ISNUMBER('Resol  Asuntos'!D10/NºAsuntos!G10),'Resol  Asuntos'!D10/NºAsuntos!G10," - ")</f>
        <v>0.46875</v>
      </c>
      <c r="E10" s="445">
        <f>IF(ISNUMBER((NºAsuntos!C10+NºAsuntos!E10)/NºAsuntos!G10),(NºAsuntos!C10+NºAsuntos!E10)/NºAsuntos!G10," - ")</f>
        <v>3.9375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2.019047619047619</v>
      </c>
      <c r="C13" s="859">
        <f>IF(ISNUMBER(NºAsuntos!I13/NºAsuntos!G13),NºAsuntos!I13/NºAsuntos!G13," - ")</f>
        <v>2.0044221698113209</v>
      </c>
      <c r="D13" s="860">
        <f>IF(ISNUMBER('Resol  Asuntos'!D13/NºAsuntos!G13),'Resol  Asuntos'!D13/NºAsuntos!G13," - ")</f>
        <v>0.39652122641509435</v>
      </c>
      <c r="E13" s="861">
        <f>IF(ISNUMBER((NºAsuntos!C13+NºAsuntos!E13)/NºAsuntos!G13),(NºAsuntos!C13+NºAsuntos!E13)/NºAsuntos!G13," - ")</f>
        <v>3.0044221698113209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1.0518169582772543</v>
      </c>
      <c r="C15" s="443">
        <f>IF(ISNUMBER(NºAsuntos!I15/NºAsuntos!G15),NºAsuntos!I15/NºAsuntos!G15," - ")</f>
        <v>0.68522072936660272</v>
      </c>
      <c r="D15" s="444">
        <f>IF(ISNUMBER('Resol  Asuntos'!D15/NºAsuntos!G15),'Resol  Asuntos'!D15/NºAsuntos!G15," - ")</f>
        <v>0.15419065898912349</v>
      </c>
      <c r="E15" s="445">
        <f>IF(ISNUMBER((NºAsuntos!C15+NºAsuntos!E15)/NºAsuntos!G15),(NºAsuntos!C15+NºAsuntos!E15)/NºAsuntos!G15," - ")</f>
        <v>1.6813819577735125</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0.98743718592964824</v>
      </c>
      <c r="C17" s="443">
        <f>IF(ISNUMBER(NºAsuntos!I17/NºAsuntos!G17),NºAsuntos!I17/NºAsuntos!G17," - ")</f>
        <v>0.33206106870229007</v>
      </c>
      <c r="D17" s="444">
        <f>IF(ISNUMBER('Resol  Asuntos'!D17/NºAsuntos!G17),'Resol  Asuntos'!D17/NºAsuntos!G17," - ")</f>
        <v>8.5241730279898217E-2</v>
      </c>
      <c r="E17" s="445">
        <f>IF(ISNUMBER((NºAsuntos!C17+NºAsuntos!E17)/NºAsuntos!G17),(NºAsuntos!C17+NºAsuntos!E17)/NºAsuntos!G17," - ")</f>
        <v>1.3307888040712468</v>
      </c>
      <c r="G17" s="463"/>
    </row>
    <row r="18" spans="1:7" ht="14.25" thickTop="1" thickBot="1">
      <c r="A18" s="848" t="str">
        <f>Datos!A18</f>
        <v>TOTAL</v>
      </c>
      <c r="B18" s="858">
        <f>IF(ISNUMBER(NºAsuntos!G18/NºAsuntos!E18),NºAsuntos!G18/NºAsuntos!E18," - ")</f>
        <v>1.0293602103418054</v>
      </c>
      <c r="C18" s="859">
        <f>IF(ISNUMBER(NºAsuntos!I18/NºAsuntos!G18),NºAsuntos!I18/NºAsuntos!G18," - ")</f>
        <v>0.56704980842911878</v>
      </c>
      <c r="D18" s="862">
        <f>IF(ISNUMBER('Resol  Asuntos'!D18/NºAsuntos!G18),'Resol  Asuntos'!D18/NºAsuntos!G18," - ")</f>
        <v>0.13111962537249894</v>
      </c>
      <c r="E18" s="861">
        <f>IF(ISNUMBER((NºAsuntos!C18+NºAsuntos!E18)/NºAsuntos!G18),(NºAsuntos!C18+NºAsuntos!E18)/NºAsuntos!G18," - ")</f>
        <v>1.5640698169433802</v>
      </c>
      <c r="G18" s="463"/>
    </row>
    <row r="19" spans="1:7" ht="15.75" customHeight="1" thickTop="1" thickBot="1">
      <c r="A19" s="793" t="str">
        <f>Datos!A19</f>
        <v>TOTAL JURISDICCIONES</v>
      </c>
      <c r="B19" s="808">
        <f>IF(ISNUMBER(NºAsuntos!G19/NºAsuntos!E19),NºAsuntos!G19/NºAsuntos!E19," - ")</f>
        <v>1.4490156486622918</v>
      </c>
      <c r="C19" s="809">
        <f>IF(ISNUMBER(NºAsuntos!I19/NºAsuntos!G19),NºAsuntos!I19/NºAsuntos!G19," - ")</f>
        <v>1.4163037798292981</v>
      </c>
      <c r="D19" s="810">
        <f>IF(ISNUMBER('Resol  Asuntos'!D19/NºAsuntos!G19),'Resol  Asuntos'!D19/NºAsuntos!G19," - ")</f>
        <v>0.28792893224176974</v>
      </c>
      <c r="E19" s="811">
        <f>IF(ISNUMBER((NºAsuntos!C19+NºAsuntos!E19)/NºAsuntos!G19),(NºAsuntos!C19+NºAsuntos!E19)/NºAsuntos!G19," - ")</f>
        <v>2.4150844800557394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5BmlT+rs8j4Y0C9HRVN+jqydjTBd3og2WztwqWXs9lkGhDGikjf4eqAYY+3smX6Nk8BGX2kqPMJ5r4jYLX0Q==" saltValue="dJr3sN8VlMkrqxDAiWf6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CADIZ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804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386</v>
      </c>
      <c r="Y9" s="334">
        <f>SUM(W9:X9)</f>
        <v>386</v>
      </c>
      <c r="Z9" s="335" t="str">
        <f>IF(ISNUMBER(Datos!CC9),Datos!CC9," - ")</f>
        <v xml:space="preserve"> - </v>
      </c>
      <c r="AA9" s="332" t="str">
        <f>IF(ISNUMBER(IF(J_V="SI",Datos!L9,Datos!L9+Datos!AB9)-IF(Monitorios="SI",Datos!CD9,0)),
                          IF(J_V="SI",Datos!L9,Datos!L9+Datos!AB9)-IF(Monitorios="SI",Datos!CD9,0),
                          " - ")</f>
        <v xml:space="preserve"> - </v>
      </c>
      <c r="AB9" s="334">
        <f>IF(ISNUMBER(Datos!R9),Datos!R9," - ")</f>
        <v>9875</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1330</v>
      </c>
      <c r="AJ9" s="229" t="str">
        <f>IF(ISNUMBER(Datos!BW9),Datos!BW9," - ")</f>
        <v xml:space="preserve"> - </v>
      </c>
      <c r="AK9" s="228" t="str">
        <f>IF(ISNUMBER(Datos!BX9),Datos!BX9," - ")</f>
        <v xml:space="preserve"> - </v>
      </c>
      <c r="AL9" s="243">
        <f>IF(ISNUMBER(NºAsuntos!G9/NºAsuntos!E9),NºAsuntos!G9/NºAsuntos!E9," - ")</f>
        <v>2.0326678765880217</v>
      </c>
      <c r="AM9" s="260">
        <f>IF(ISNUMBER(((NºAsuntos!I9/NºAsuntos!G9)*11)/factor_trimestre),((NºAsuntos!I9/NºAsuntos!G9)*11)/factor_trimestre," - ")</f>
        <v>5.9866071428571432</v>
      </c>
      <c r="AN9" s="244">
        <f>IF(ISNUMBER('Resol  Asuntos'!D9/NºAsuntos!G9),'Resol  Asuntos'!D9/NºAsuntos!G9," - ")</f>
        <v>0.39583333333333331</v>
      </c>
      <c r="AO9" s="245">
        <f>IF(ISNUMBER((NºAsuntos!C9+NºAsuntos!E9)/NºAsuntos!G9),(NºAsuntos!C9+NºAsuntos!E9)/NºAsuntos!G9," - ")</f>
        <v>2.9955357142857144</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99</v>
      </c>
      <c r="G10" s="333">
        <f>IF(ISNUMBER(Datos!I10),Datos!I10," - ")</f>
        <v>99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32</v>
      </c>
      <c r="X10" s="226">
        <f>IF(ISNUMBER(Datos!Q10),Datos!Q10," - ")</f>
        <v>8</v>
      </c>
      <c r="Y10" s="334">
        <f t="shared" ref="Y10:Y12" si="0">SUM(W10:X10)</f>
        <v>40</v>
      </c>
      <c r="Z10" s="335" t="str">
        <f>IF(ISNUMBER(Datos!CC10),Datos!CC10," - ")</f>
        <v xml:space="preserve"> - </v>
      </c>
      <c r="AA10" s="332">
        <f>IF(ISNUMBER(Datos!L10),Datos!L10,"-")</f>
        <v>94</v>
      </c>
      <c r="AB10" s="334">
        <f>IF(ISNUMBER(Datos!R10),Datos!R10," - ")</f>
        <v>52</v>
      </c>
      <c r="AC10" s="334">
        <f t="shared" ref="AC10:AC12" si="1">IF(ISNUMBER(AA10+AB10),AA10+AB10," - ")</f>
        <v>146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15</v>
      </c>
      <c r="AJ10" s="231" t="str">
        <f>IF(ISNUMBER(Datos!BW10),Datos!BW10," - ")</f>
        <v xml:space="preserve"> - </v>
      </c>
      <c r="AK10" s="232" t="str">
        <f>IF(ISNUMBER(Datos!BX10),Datos!BX10," - ")</f>
        <v xml:space="preserve"> - </v>
      </c>
      <c r="AL10" s="243">
        <f>IF(ISNUMBER(NºAsuntos!G10/NºAsuntos!E10),NºAsuntos!G10/NºAsuntos!E10," - ")</f>
        <v>1.1851851851851851</v>
      </c>
      <c r="AM10" s="260">
        <f>IF(ISNUMBER(((NºAsuntos!I10/NºAsuntos!G10)*11)/factor_trimestre),((NºAsuntos!I10/NºAsuntos!G10)*11)/factor_trimestre," - ")</f>
        <v>8.8125</v>
      </c>
      <c r="AN10" s="244">
        <f>IF(ISNUMBER('Resol  Asuntos'!D10/NºAsuntos!G10),'Resol  Asuntos'!D10/NºAsuntos!G10," - ")</f>
        <v>0.46875</v>
      </c>
      <c r="AO10" s="245">
        <f>IF(ISNUMBER((NºAsuntos!C10+NºAsuntos!E10)/NºAsuntos!G10),(NºAsuntos!C10+NºAsuntos!E10)/NºAsuntos!G10," - ")</f>
        <v>3.9375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99</v>
      </c>
      <c r="G13" s="866">
        <f t="shared" si="3"/>
        <v>99</v>
      </c>
      <c r="H13" s="865">
        <f t="shared" si="3"/>
        <v>0</v>
      </c>
      <c r="I13" s="867">
        <f t="shared" si="3"/>
        <v>0</v>
      </c>
      <c r="J13" s="867">
        <f t="shared" si="3"/>
        <v>0</v>
      </c>
      <c r="K13" s="867">
        <f t="shared" si="3"/>
        <v>0</v>
      </c>
      <c r="L13" s="867">
        <f t="shared" si="3"/>
        <v>809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32</v>
      </c>
      <c r="X13" s="867">
        <f t="shared" si="4"/>
        <v>394</v>
      </c>
      <c r="Y13" s="868">
        <f t="shared" si="4"/>
        <v>426</v>
      </c>
      <c r="Z13" s="868">
        <f t="shared" si="4"/>
        <v>0</v>
      </c>
      <c r="AA13" s="868">
        <f t="shared" si="4"/>
        <v>94</v>
      </c>
      <c r="AB13" s="868">
        <f t="shared" si="4"/>
        <v>9927</v>
      </c>
      <c r="AC13" s="868">
        <f t="shared" si="4"/>
        <v>146</v>
      </c>
      <c r="AD13" s="868">
        <f t="shared" si="4"/>
        <v>0</v>
      </c>
      <c r="AE13" s="872">
        <f t="shared" si="4"/>
        <v>0</v>
      </c>
      <c r="AF13" s="865">
        <f t="shared" si="4"/>
        <v>0</v>
      </c>
      <c r="AG13" s="873">
        <f t="shared" si="4"/>
        <v>0</v>
      </c>
      <c r="AH13" s="870">
        <f t="shared" si="4"/>
        <v>0</v>
      </c>
      <c r="AI13" s="865">
        <f t="shared" si="4"/>
        <v>1345</v>
      </c>
      <c r="AJ13" s="867">
        <f t="shared" si="4"/>
        <v>0</v>
      </c>
      <c r="AK13" s="870">
        <f>SUBTOTAL(9,AK9:AK12)</f>
        <v>0</v>
      </c>
      <c r="AL13" s="874">
        <f>IF(ISNUMBER(NºAsuntos!G13/NºAsuntos!E13),NºAsuntos!G13/NºAsuntos!E13," - ")</f>
        <v>2.019047619047619</v>
      </c>
      <c r="AM13" s="874">
        <f>IF(ISNUMBER(((NºAsuntos!I13/NºAsuntos!G13)*11)/factor_trimestre),((NºAsuntos!I13/NºAsuntos!G13)*11)/factor_trimestre," - ")</f>
        <v>6.0132665094339623</v>
      </c>
      <c r="AN13" s="875">
        <f>IF(ISNUMBER('Resol  Asuntos'!D13/NºAsuntos!G13),'Resol  Asuntos'!D13/NºAsuntos!G13," - ")</f>
        <v>0.39652122641509435</v>
      </c>
      <c r="AO13" s="876">
        <f>IF(ISNUMBER((NºAsuntos!C13+NºAsuntos!E13)/NºAsuntos!G13),(NºAsuntos!C13+NºAsuntos!E13)/NºAsuntos!G13," - ")</f>
        <v>3.0044221698113209</v>
      </c>
      <c r="AP13" s="877" t="str">
        <f t="shared" si="2"/>
        <v xml:space="preserve"> - </v>
      </c>
      <c r="AQ13" s="877">
        <f>IF(ISNUMBER((H13-W13+K13)/(F13)),(H13-W13+K13)/(F13)," - ")</f>
        <v>-0.32323232323232326</v>
      </c>
      <c r="AR13" s="878">
        <f>IF(ISNUMBER((Datos!P13-Datos!Q13)/(Datos!R13-Datos!P13+Datos!Q13)),(Datos!P13-Datos!Q13)/(Datos!R13-Datos!P13+Datos!Q13)," - ")</f>
        <v>4.362910008410429E-2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1148</v>
      </c>
      <c r="G15" s="333">
        <f>IF(ISNUMBER(IF(D_I="SI",Datos!I15,Datos!I15+Datos!AC15)),IF(D_I="SI",Datos!I15,Datos!I15+Datos!AC15)," - ")</f>
        <v>1142</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103</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1563</v>
      </c>
      <c r="X15" s="226">
        <f>IF(ISNUMBER(Datos!Q15),Datos!Q15," - ")</f>
        <v>117</v>
      </c>
      <c r="Y15" s="334">
        <f>SUM(W15)</f>
        <v>1563</v>
      </c>
      <c r="Z15" s="335" t="str">
        <f>IF(ISNUMBER(Datos!CC15),Datos!CC15," - ")</f>
        <v xml:space="preserve"> - </v>
      </c>
      <c r="AA15" s="332">
        <f>IF(ISNUMBER(IF(D_I="SI",Datos!L15,Datos!L15+Datos!AF15)),IF(D_I="SI",Datos!L15,Datos!L15+Datos!AF15)," - ")</f>
        <v>1071</v>
      </c>
      <c r="AB15" s="334">
        <f>IF(ISNUMBER(Datos!R15),Datos!R15," - ")</f>
        <v>233</v>
      </c>
      <c r="AC15" s="334">
        <f t="shared" ref="AC15:AC17" si="6">IF(ISNUMBER(AA15+AB15),AA15+AB15," - ")</f>
        <v>1304</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241</v>
      </c>
      <c r="AJ15" s="231" t="str">
        <f>IF(ISNUMBER(Datos!BW15),Datos!BW15," - ")</f>
        <v xml:space="preserve"> - </v>
      </c>
      <c r="AK15" s="232" t="str">
        <f>IF(ISNUMBER(Datos!BX15),Datos!BX15," - ")</f>
        <v xml:space="preserve"> - </v>
      </c>
      <c r="AL15" s="243">
        <f>IF(ISNUMBER(NºAsuntos!G15/NºAsuntos!E15),NºAsuntos!G15/NºAsuntos!E15," - ")</f>
        <v>1.0518169582772543</v>
      </c>
      <c r="AM15" s="260">
        <f>IF(ISNUMBER(((NºAsuntos!I15/NºAsuntos!G15)*11)/factor_trimestre),((NºAsuntos!I15/NºAsuntos!G15)*11)/factor_trimestre," - ")</f>
        <v>2.0556621880998085</v>
      </c>
      <c r="AN15" s="244">
        <f>IF(ISNUMBER('Resol  Asuntos'!D15/NºAsuntos!G15),'Resol  Asuntos'!D15/NºAsuntos!G15," - ")</f>
        <v>0.15419065898912349</v>
      </c>
      <c r="AO15" s="245">
        <f>IF(ISNUMBER((NºAsuntos!C15+NºAsuntos!E15)/NºAsuntos!G15),(NºAsuntos!C15+NºAsuntos!E15)/NºAsuntos!G15," - ")</f>
        <v>1.6813819577735125</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250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8</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786</v>
      </c>
      <c r="X17" s="226">
        <f>IF(ISNUMBER(Datos!Q17),Datos!Q17," - ")</f>
        <v>3</v>
      </c>
      <c r="Y17" s="334">
        <f t="shared" si="7"/>
        <v>789</v>
      </c>
      <c r="Z17" s="335" t="str">
        <f>IF(ISNUMBER(Datos!CC17),Datos!CC17," - ")</f>
        <v xml:space="preserve"> - </v>
      </c>
      <c r="AA17" s="332">
        <f>IF(ISNUMBER(Datos!L17),Datos!L17,"-")</f>
        <v>261</v>
      </c>
      <c r="AB17" s="334">
        <f>IF(ISNUMBER(Datos!R17),Datos!R17," - ")</f>
        <v>23</v>
      </c>
      <c r="AC17" s="334">
        <f t="shared" si="6"/>
        <v>284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67</v>
      </c>
      <c r="AJ17" s="231" t="str">
        <f>IF(ISNUMBER(Datos!BW17),Datos!BW17," - ")</f>
        <v xml:space="preserve"> - </v>
      </c>
      <c r="AK17" s="232" t="str">
        <f>IF(ISNUMBER(Datos!BX17),Datos!BX17," - ")</f>
        <v xml:space="preserve"> - </v>
      </c>
      <c r="AL17" s="243">
        <f>IF(ISNUMBER(NºAsuntos!G17/NºAsuntos!E17),NºAsuntos!G17/NºAsuntos!E17," - ")</f>
        <v>0.98743718592964824</v>
      </c>
      <c r="AM17" s="260">
        <f>IF(ISNUMBER(((NºAsuntos!I17/NºAsuntos!G17)*11)/factor_trimestre),((NºAsuntos!I17/NºAsuntos!G17)*11)/factor_trimestre," - ")</f>
        <v>0.99618320610687017</v>
      </c>
      <c r="AN17" s="244">
        <f>IF(ISNUMBER('Resol  Asuntos'!D17/NºAsuntos!G17),'Resol  Asuntos'!D17/NºAsuntos!G17," - ")</f>
        <v>8.5241730279898217E-2</v>
      </c>
      <c r="AO17" s="245">
        <f>IF(ISNUMBER((NºAsuntos!C17+NºAsuntos!E17)/NºAsuntos!G17),(NºAsuntos!C17+NºAsuntos!E17)/NºAsuntos!G17," - ")</f>
        <v>1.3307888040712468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1148</v>
      </c>
      <c r="G18" s="866">
        <f>SUBTOTAL(9,G15:G17)</f>
        <v>1392</v>
      </c>
      <c r="H18" s="865">
        <f t="shared" ref="H18:O18" si="10">SUBTOTAL(9,H14:H17)</f>
        <v>0</v>
      </c>
      <c r="I18" s="867">
        <f t="shared" si="10"/>
        <v>0</v>
      </c>
      <c r="J18" s="867">
        <f t="shared" si="10"/>
        <v>0</v>
      </c>
      <c r="K18" s="867">
        <f t="shared" si="10"/>
        <v>0</v>
      </c>
      <c r="L18" s="867">
        <f t="shared" si="10"/>
        <v>111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2349</v>
      </c>
      <c r="X18" s="867">
        <f t="shared" si="11"/>
        <v>120</v>
      </c>
      <c r="Y18" s="868">
        <f t="shared" si="11"/>
        <v>2352</v>
      </c>
      <c r="Z18" s="868">
        <f t="shared" si="11"/>
        <v>0</v>
      </c>
      <c r="AA18" s="868">
        <f t="shared" si="11"/>
        <v>1332</v>
      </c>
      <c r="AB18" s="868">
        <f t="shared" si="11"/>
        <v>256</v>
      </c>
      <c r="AC18" s="868">
        <f t="shared" si="11"/>
        <v>1588</v>
      </c>
      <c r="AD18" s="868">
        <f t="shared" si="11"/>
        <v>0</v>
      </c>
      <c r="AE18" s="872">
        <f t="shared" si="11"/>
        <v>0</v>
      </c>
      <c r="AF18" s="865">
        <f t="shared" si="11"/>
        <v>0</v>
      </c>
      <c r="AG18" s="873">
        <f t="shared" si="11"/>
        <v>0</v>
      </c>
      <c r="AH18" s="870">
        <f t="shared" si="11"/>
        <v>0</v>
      </c>
      <c r="AI18" s="865">
        <f t="shared" si="11"/>
        <v>308</v>
      </c>
      <c r="AJ18" s="867">
        <f t="shared" si="11"/>
        <v>0</v>
      </c>
      <c r="AK18" s="870">
        <f t="shared" si="11"/>
        <v>0</v>
      </c>
      <c r="AL18" s="874">
        <f>IF(ISNUMBER(NºAsuntos!G18/NºAsuntos!E18),NºAsuntos!G18/NºAsuntos!E18," - ")</f>
        <v>1.0293602103418054</v>
      </c>
      <c r="AM18" s="874">
        <f>IF(ISNUMBER(((NºAsuntos!I18/NºAsuntos!G18)*11)/factor_trimestre),((NºAsuntos!I18/NºAsuntos!G18)*11)/factor_trimestre," - ")</f>
        <v>1.7011494252873565</v>
      </c>
      <c r="AN18" s="875">
        <f>IF(ISNUMBER('Resol  Asuntos'!D18/NºAsuntos!G18),'Resol  Asuntos'!D18/NºAsuntos!G18," - ")</f>
        <v>0.13111962537249894</v>
      </c>
      <c r="AO18" s="876">
        <f>IF(ISNUMBER((NºAsuntos!C18+NºAsuntos!E18)/NºAsuntos!G18),(NºAsuntos!C18+NºAsuntos!E18)/NºAsuntos!G18," - ")</f>
        <v>1.5640698169433802</v>
      </c>
      <c r="AP18" s="877" t="str">
        <f t="shared" si="2"/>
        <v xml:space="preserve"> - </v>
      </c>
      <c r="AQ18" s="877">
        <f>IF(ISNUMBER((H18-W18+K18)/(F18)),(H18-W18+K18)/(F18)," - ")</f>
        <v>-2.0461672473867596</v>
      </c>
      <c r="AR18" s="878">
        <f>IF(ISNUMBER((Datos!P18-Datos!Q18)/(Datos!R18-Datos!P18+Datos!Q18)),(Datos!P18-Datos!Q18)/(Datos!R18-Datos!P18+Datos!Q18)," - ")</f>
        <v>-3.3962264150943396E-2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1247</v>
      </c>
      <c r="G19" s="821">
        <f t="shared" si="13"/>
        <v>1491</v>
      </c>
      <c r="H19" s="820">
        <f t="shared" si="13"/>
        <v>0</v>
      </c>
      <c r="I19" s="822">
        <f t="shared" si="13"/>
        <v>0</v>
      </c>
      <c r="J19" s="822">
        <f t="shared" si="13"/>
        <v>0</v>
      </c>
      <c r="K19" s="881">
        <f t="shared" si="13"/>
        <v>0</v>
      </c>
      <c r="L19" s="822">
        <f t="shared" si="13"/>
        <v>920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2381</v>
      </c>
      <c r="X19" s="821">
        <f t="shared" si="14"/>
        <v>514</v>
      </c>
      <c r="Y19" s="828">
        <f t="shared" si="14"/>
        <v>2778</v>
      </c>
      <c r="Z19" s="828">
        <f t="shared" si="14"/>
        <v>0</v>
      </c>
      <c r="AA19" s="828">
        <f t="shared" si="14"/>
        <v>1426</v>
      </c>
      <c r="AB19" s="828">
        <f t="shared" si="14"/>
        <v>10183</v>
      </c>
      <c r="AC19" s="828">
        <f t="shared" si="14"/>
        <v>1734</v>
      </c>
      <c r="AD19" s="828">
        <f t="shared" si="14"/>
        <v>0</v>
      </c>
      <c r="AE19" s="830">
        <f t="shared" si="14"/>
        <v>0</v>
      </c>
      <c r="AF19" s="831">
        <f t="shared" si="14"/>
        <v>0</v>
      </c>
      <c r="AG19" s="832">
        <f t="shared" si="14"/>
        <v>0</v>
      </c>
      <c r="AH19" s="830">
        <f t="shared" si="14"/>
        <v>0</v>
      </c>
      <c r="AI19" s="820">
        <f t="shared" si="14"/>
        <v>1653</v>
      </c>
      <c r="AJ19" s="820">
        <f t="shared" si="14"/>
        <v>0</v>
      </c>
      <c r="AK19" s="830">
        <f t="shared" si="14"/>
        <v>0</v>
      </c>
      <c r="AL19" s="884">
        <f>IF(ISNUMBER(NºAsuntos!G19/NºAsuntos!E19),NºAsuntos!G19/NºAsuntos!E19," - ")</f>
        <v>1.4490156486622918</v>
      </c>
      <c r="AM19" s="885">
        <f>IF(ISNUMBER(((NºAsuntos!I19/NºAsuntos!G19)*11)/factor_trimestre),((NºAsuntos!I19/NºAsuntos!G19)*11)/factor_trimestre," - ")</f>
        <v>4.2489113394878943</v>
      </c>
      <c r="AN19" s="885">
        <f>IF(ISNUMBER('Resol  Asuntos'!D19/NºAsuntos!G19),'Resol  Asuntos'!D19/NºAsuntos!G19," - ")</f>
        <v>0.28792893224176974</v>
      </c>
      <c r="AO19" s="886">
        <f>IF(ISNUMBER((NºAsuntos!C19+NºAsuntos!E19)/NºAsuntos!G19),(NºAsuntos!C19+NºAsuntos!E19)/NºAsuntos!G19," - ")</f>
        <v>2.4150844800557394</v>
      </c>
      <c r="AP19" s="887" t="str">
        <f t="shared" si="2"/>
        <v xml:space="preserve"> - </v>
      </c>
      <c r="AQ19" s="888">
        <f>IF(OR(ISNUMBER(FIND("01",Criterios!A8,1)),ISNUMBER(FIND("02",Criterios!A8,1)),ISNUMBER(FIND("03",Criterios!A8,1)),ISNUMBER(FIND("04",Criterios!A8,1))),(I19-W19+K19)/(F19-K19),(H19-W19+K19)/(F19-K19))</f>
        <v>-1.9093825180433039</v>
      </c>
      <c r="AR19" s="889">
        <f>IF(ISNUMBER((Datos!P19-Datos!Q19)/(Datos!R19-Datos!P19+Datos!Q19)),(Datos!P19-Datos!Q19)/(Datos!R19-Datos!P19+Datos!Q19)," - ")</f>
        <v>4.1526030479697246E-2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596.4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2.8284271247461903</v>
      </c>
      <c r="F21" s="252">
        <f>IF(ISNUMBER(STDEV(F8:F18)),STDEV(F8:F18),"-")</f>
        <v>605.64043237991746</v>
      </c>
      <c r="G21" s="253">
        <f>IF(ISNUMBER(STDEV(G8:G18)),STDEV(G8:G18),"-")</f>
        <v>621.58370313257092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1005.6447185760984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618.70477612509183</v>
      </c>
      <c r="AJ21" s="252">
        <f t="shared" si="18"/>
        <v>0</v>
      </c>
      <c r="AK21" s="254">
        <f t="shared" si="18"/>
        <v>0</v>
      </c>
      <c r="AL21" s="249">
        <f t="shared" si="18"/>
        <v>0.50138995995734259</v>
      </c>
      <c r="AM21" s="250">
        <f t="shared" si="18"/>
        <v>3.1253700146456946</v>
      </c>
      <c r="AN21" s="250">
        <f t="shared" si="18"/>
        <v>0.16622619842188155</v>
      </c>
      <c r="AO21" s="251">
        <f t="shared" si="18"/>
        <v>1.0430862267965562</v>
      </c>
      <c r="AP21" s="291" t="str">
        <f t="shared" si="18"/>
        <v>-</v>
      </c>
      <c r="AQ21" s="292">
        <f t="shared" si="18"/>
        <v>1.2182989684127321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FQhiH4Y3jmX9+Uvn2zjx9xTtVIwCU0+OmK/FuPHkp5IIjOPF4MetoB5JOyoknvNSVDRijep9U9w+ltNJWkx+oA==" saltValue="PnHwQ9OyCc+M8xWewAQ2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CADIZ</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4.2319749216300939E-2</v>
      </c>
      <c r="I9" s="350">
        <f>IF(ISNUMBER((Tasas!C9-Datos!BE9)/Datos!BE9),(Tasas!C9-Datos!BE9)/Datos!BE9," - ")</f>
        <v>-0.39326937796176992</v>
      </c>
      <c r="J9" s="349">
        <f>IF(ISNUMBER((Tasas!D9-Datos!BF9)/Datos!BF9),(Tasas!D9-Datos!BF9)/Datos!BF9," - ")</f>
        <v>0.22776061470215461</v>
      </c>
      <c r="K9" s="351">
        <f>IF(ISNUMBER((Tasas!E9-Datos!BG9)/Datos!BG9),(Tasas!E9-Datos!BG9)/Datos!BG9," - ")</f>
        <v>-0.30157677486857543</v>
      </c>
      <c r="M9" t="e">
        <f>IF(Monitorios="SI",Datos!CE9,0)</f>
        <v>#REF!</v>
      </c>
      <c r="N9" t="e">
        <f>IF(Monitorios="SI",Datos!CF9,0)</f>
        <v>#REF!</v>
      </c>
      <c r="O9" t="e">
        <f>IF(Monitorios="SI",Datos!CG9,0)</f>
        <v>#REF!</v>
      </c>
      <c r="P9" t="e">
        <f>IF(Monitorios="SI",Datos!CH9,0)</f>
        <v>#REF!</v>
      </c>
      <c r="Q9">
        <f>IF(J_V="SI",0,Datos!AG9)</f>
        <v>316</v>
      </c>
      <c r="R9">
        <f>IF(J_V="SI",0,Datos!AH9)</f>
        <v>148</v>
      </c>
      <c r="S9">
        <f>IF(J_V="SI",0,Datos!AI9)</f>
        <v>142</v>
      </c>
      <c r="T9">
        <f>IF(J_V="SI",0,Datos!AJ9)</f>
        <v>322</v>
      </c>
    </row>
    <row r="10" spans="2:20" ht="14.25">
      <c r="B10" s="275" t="s">
        <v>246</v>
      </c>
      <c r="C10" s="7" t="str">
        <f>Datos!A10</f>
        <v>Jdos. Violencia contra la mujer</v>
      </c>
      <c r="D10" s="352">
        <f>IF(ISNUMBER((Datos!I10-Datos!S10)/Datos!S10),(Datos!I10-Datos!S10)/Datos!S10," - ")</f>
        <v>0.5</v>
      </c>
      <c r="E10" s="348">
        <f>IF(ISNUMBER((Datos!J10-Datos!T10)/Datos!T10),(Datos!J10-Datos!T10)/Datos!T10," - ")</f>
        <v>-0.28947368421052633</v>
      </c>
      <c r="F10" s="348">
        <f>IF(ISNUMBER((Datos!K10-Datos!U10)/Datos!U10),(Datos!K10-Datos!U10)/Datos!U10," - ")</f>
        <v>-0.21951219512195122</v>
      </c>
      <c r="G10" s="349">
        <f>IF(ISNUMBER((Datos!L10-Datos!V10)/Datos!V10),(Datos!L10-Datos!V10)/Datos!V10," - ")</f>
        <v>0.49206349206349204</v>
      </c>
      <c r="H10" s="230">
        <f>IF(ISNUMBER((Datos!M10-Datos!W10)/Datos!W10),(Datos!M10-Datos!W10)/Datos!W10," - ")</f>
        <v>0</v>
      </c>
      <c r="I10" s="350">
        <f>IF(ISNUMBER((Tasas!C10-Datos!BE10)/Datos!BE10),(Tasas!C10-Datos!BE10)/Datos!BE10," - ")</f>
        <v>0.91170634920634919</v>
      </c>
      <c r="J10" s="349">
        <f>IF(ISNUMBER((Tasas!D10-Datos!BF10)/Datos!BF10),(Tasas!D10-Datos!BF10)/Datos!BF10," - ")</f>
        <v>0.28125000000000006</v>
      </c>
      <c r="K10" s="351">
        <f>IF(ISNUMBER((Tasas!E10-Datos!BG10)/Datos!BG10),(Tasas!E10-Datos!BG10)/Datos!BG10," - ")</f>
        <v>0.55228365384615385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4.1828040278853604E-2</v>
      </c>
      <c r="I13" s="357">
        <f>IF(ISNUMBER((Tasas!C13-Datos!BE13)/Datos!BE13),(Tasas!C13-Datos!BE13)/Datos!BE13," - ")</f>
        <v>-0.38651126919345957</v>
      </c>
      <c r="J13" s="355">
        <f>IF(ISNUMBER((Tasas!D13-Datos!BF13)/Datos!BF13),(Tasas!D13-Datos!BF13)/Datos!BF13," - ")</f>
        <v>0.22784079857120121</v>
      </c>
      <c r="K13" s="358">
        <f>IF(ISNUMBER((Tasas!E13-Datos!BG13)/Datos!BG13),(Tasas!E13-Datos!BG13)/Datos!BG13," - ")</f>
        <v>-0.29593511248623278</v>
      </c>
      <c r="M13" t="e">
        <f>IF(Monitorios="SI",Datos!CE13,0)</f>
        <v>#REF!</v>
      </c>
      <c r="N13" t="e">
        <f>IF(Monitorios="SI",Datos!CF13,0)</f>
        <v>#REF!</v>
      </c>
      <c r="O13" t="e">
        <f>IF(Monitorios="SI",Datos!CG13,0)</f>
        <v>#REF!</v>
      </c>
      <c r="P13" t="e">
        <f>IF(Monitorios="SI",Datos!CH13,0)</f>
        <v>#REF!</v>
      </c>
      <c r="Q13">
        <f>IF(J_V="SI",0,Datos!AG13)</f>
        <v>316</v>
      </c>
      <c r="R13">
        <f>IF(J_V="SI",0,Datos!AH13)</f>
        <v>148</v>
      </c>
      <c r="S13">
        <f>IF(J_V="SI",0,Datos!AI13)</f>
        <v>142</v>
      </c>
      <c r="T13">
        <f>IF(J_V="SI",0,Datos!AJ13)</f>
        <v>322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-6.3934426229508193E-2</v>
      </c>
      <c r="E15" s="348">
        <f>IF(ISNUMBER(
   IF(D_I="SI",(Datos!J15-Datos!T15)/Datos!T15,(Datos!J15+Datos!AD15-(Datos!T15+Datos!AL15))/(Datos!T15+Datos!AL15))
     ),IF(D_I="SI",(Datos!J15-Datos!T15)/Datos!T15,(Datos!J15+Datos!AD15-(Datos!T15+Datos!AL15))/(Datos!T15+Datos!AL15))," - ")</f>
        <v>-0.11283582089552238</v>
      </c>
      <c r="F15" s="348">
        <f>IF(ISNUMBER(
   IF(D_I="SI",(Datos!K15-Datos!U15)/Datos!U15,(Datos!K15+Datos!AE15-(Datos!U15+Datos!AM15))/(Datos!U15+Datos!AM15))
     ),IF(D_I="SI",(Datos!K15-Datos!U15)/Datos!U15,(Datos!K15+Datos!AE15-(Datos!U15+Datos!AM15))/(Datos!U15+Datos!AM15))," - ")</f>
        <v>-0.13503043718871058</v>
      </c>
      <c r="G15" s="349">
        <f>IF(ISNUMBER(
   IF(D_I="SI",(Datos!L15-Datos!V15)/Datos!V15,(Datos!L15+Datos!AF15-(Datos!V15+Datos!AN15))/(Datos!V15+Datos!AN15))
     ),IF(D_I="SI",(Datos!L15-Datos!V15)/Datos!V15,(Datos!L15+Datos!AF15-(Datos!V15+Datos!AN15))/(Datos!V15+Datos!AN15))," - ")</f>
        <v>-2.1023765996343691E-2</v>
      </c>
      <c r="H15" s="230">
        <f>IF(ISNUMBER((Datos!M15-Datos!W15)/Datos!W15),(Datos!M15-Datos!W15)/Datos!W15," - ")</f>
        <v>-0.27190332326283989</v>
      </c>
      <c r="I15" s="350">
        <f>IF(ISNUMBER((Tasas!C15-Datos!BE15)/Datos!BE15),(Tasas!C15-Datos!BE15)/Datos!BE15," - ")</f>
        <v>0.13180425773807228</v>
      </c>
      <c r="J15" s="349">
        <f>IF(ISNUMBER((Tasas!D15-Datos!BF15)/Datos!BF15),(Tasas!D15-Datos!BF15)/Datos!BF15," - ")</f>
        <v>-0.15824011844910529</v>
      </c>
      <c r="K15" s="351">
        <f>IF(ISNUMBER((Tasas!E15-Datos!BG15)/Datos!BG15),(Tasas!E15-Datos!BG15)/Datos!BG15," - ")</f>
        <v>4.9484351536005902E-2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0.14678899082568808</v>
      </c>
      <c r="E17" s="348">
        <f>IF(ISNUMBER(
   IF(D_I="SI",(Datos!J17-Datos!T17)/Datos!T17,(Datos!J17+Datos!AD17-(Datos!T17+Datos!AL17))/(Datos!T17+Datos!AL17))
     ),IF(D_I="SI",(Datos!J17-Datos!T17)/Datos!T17,(Datos!J17+Datos!AD17-(Datos!T17+Datos!AL17))/(Datos!T17+Datos!AL17))," - ")</f>
        <v>0.2360248447204969</v>
      </c>
      <c r="F17" s="348">
        <f>IF(ISNUMBER(
   IF(D_I="SI",(Datos!K17-Datos!U17)/Datos!U17,(Datos!K17+Datos!AE17-(Datos!U17+Datos!AM17))/(Datos!U17+Datos!AM17))
     ),IF(D_I="SI",(Datos!K17-Datos!U17)/Datos!U17,(Datos!K17+Datos!AE17-(Datos!U17+Datos!AM17))/(Datos!U17+Datos!AM17))," - ")</f>
        <v>0.39115044247787611</v>
      </c>
      <c r="G17" s="349">
        <f>IF(ISNUMBER(
   IF(D_I="SI",(Datos!L17-Datos!V17)/Datos!V17,(Datos!L17+Datos!AF17-(Datos!V17+Datos!AN17))/(Datos!V17+Datos!AN17))
     ),IF(D_I="SI",(Datos!L17-Datos!V17)/Datos!V17,(Datos!L17+Datos!AF17-(Datos!V17+Datos!AN17))/(Datos!V17+Datos!AN17))," - ")</f>
        <v>0.2857142857142857</v>
      </c>
      <c r="H17" s="230">
        <f>IF(ISNUMBER((Datos!M17-Datos!W17)/Datos!W17),(Datos!M17-Datos!W17)/Datos!W17," - ")</f>
        <v>0.71794871794871795</v>
      </c>
      <c r="I17" s="350">
        <f>IF(ISNUMBER((Tasas!C17-Datos!BE17)/Datos!BE17),(Tasas!C17-Datos!BE17)/Datos!BE17," - ")</f>
        <v>-7.5790621592148263E-2</v>
      </c>
      <c r="J17" s="349">
        <f>IF(ISNUMBER((Tasas!D17-Datos!BF17)/Datos!BF17),(Tasas!D17-Datos!BF17)/Datos!BF17," - ")</f>
        <v>0.23491224636262803</v>
      </c>
      <c r="K17" s="351">
        <f>IF(ISNUMBER((Tasas!E17-Datos!BG17)/Datos!BG17),(Tasas!E17-Datos!BG17)/Datos!BG17," - ")</f>
        <v>-0.12773123631060976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-3.1988873435326845E-2</v>
      </c>
      <c r="E18" s="354">
        <f>IF(ISNUMBER(
   IF(D_I="SI",(Datos!J18-Datos!T18)/Datos!T18,(Datos!J18+Datos!AD18-(Datos!T18+Datos!AL18))/(Datos!T18+Datos!AL18))
     ),IF(D_I="SI",(Datos!J18-Datos!T18)/Datos!T18,(Datos!J18+Datos!AD18-(Datos!T18+Datos!AL18))/(Datos!T18+Datos!AL18))," - ")</f>
        <v>-1.5955153083225527E-2</v>
      </c>
      <c r="F18" s="354">
        <f>IF(ISNUMBER(
   IF(D_I="SI",(Datos!K18-Datos!U18)/Datos!U18,(Datos!K18+Datos!AE18-(Datos!U18+Datos!AM18))/(Datos!U18+Datos!AM18))
     ),IF(D_I="SI",(Datos!K18-Datos!U18)/Datos!U18,(Datos!K18+Datos!AE18-(Datos!U18+Datos!AM18))/(Datos!U18+Datos!AM18))," - ")</f>
        <v>-9.6964586846543001E-3</v>
      </c>
      <c r="G18" s="355">
        <f>IF(ISNUMBER(
   IF(D_I="SI",(Datos!L18-Datos!V18)/Datos!V18,(Datos!L18+Datos!AF18-(Datos!V18+Datos!AN18))/(Datos!V18+Datos!AN18))
     ),IF(D_I="SI",(Datos!L18-Datos!V18)/Datos!V18,(Datos!L18+Datos!AF18-(Datos!V18+Datos!AN18))/(Datos!V18+Datos!AN18))," - ")</f>
        <v>2.6985350809560524E-2</v>
      </c>
      <c r="H18" s="356">
        <f>IF(ISNUMBER((Datos!M18-Datos!W18)/Datos!W18),(Datos!M18-Datos!W18)/Datos!W18," - ")</f>
        <v>-0.16756756756756758</v>
      </c>
      <c r="I18" s="357">
        <f>IF(ISNUMBER((Tasas!C18-Datos!BE18)/Datos!BE18),(Tasas!C18-Datos!BE18)/Datos!BE18," - ")</f>
        <v>3.7040975785558775E-2</v>
      </c>
      <c r="J18" s="355">
        <f>IF(ISNUMBER((Tasas!D18-Datos!BF18)/Datos!BF18),(Tasas!D18-Datos!BF18)/Datos!BF18," - ")</f>
        <v>-0.15941688815252039</v>
      </c>
      <c r="K18" s="358">
        <f>IF(ISNUMBER((Tasas!E18-Datos!BG18)/Datos!BG18),(Tasas!E18-Datos!BG18)/Datos!BG18," - ")</f>
        <v>-1.251700671022144E-2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-0.25736782902137234</v>
      </c>
      <c r="E19" s="363">
        <f>IF(ISNUMBER(
   IF(J_V="SI",(Datos!J19-Datos!T19)/Datos!T19,(Datos!J19+Datos!Z19-(Datos!T19+Datos!AH19))/(Datos!T19+Datos!AH19))
     ),IF(J_V="SI",(Datos!J19-Datos!T19)/Datos!T19,(Datos!J19+Datos!Z19-(Datos!T19+Datos!AH19))/(Datos!T19+Datos!AH19))," - ")</f>
        <v>-0.12364521123645211</v>
      </c>
      <c r="F19" s="363">
        <f>IF(ISNUMBER(
   IF(J_V="SI",(Datos!K19-Datos!U19)/Datos!U19,(Datos!K19+Datos!AA19-(Datos!U19+Datos!AI19))/(Datos!U19+Datos!AI19))
     ),IF(J_V="SI",(Datos!K19-Datos!U19)/Datos!U19,(Datos!K19+Datos!AA19-(Datos!U19+Datos!AI19))/(Datos!U19+Datos!AI19))," - ")</f>
        <v>1.1451726568005638E-2</v>
      </c>
      <c r="G19" s="364">
        <f>IF(ISNUMBER(
   IF(J_V="SI",(Datos!L19-Datos!V19)/Datos!V19,(Datos!L19+Datos!AB19-(Datos!V19+Datos!AJ19))/(Datos!V19+Datos!AJ19))
     ),IF(J_V="SI",(Datos!L19-Datos!V19)/Datos!V19,(Datos!L19+Datos!AB19-(Datos!V19+Datos!AJ19))/(Datos!V19+Datos!AJ19))," - ")</f>
        <v>-0.32757194839563347</v>
      </c>
      <c r="H19" s="365">
        <f>IF(ISNUMBER((Datos!M19-Datos!W19)/Datos!W19),(Datos!M19-Datos!W19)/Datos!W19," - ")</f>
        <v>-4.8163756773028296E-3</v>
      </c>
      <c r="I19" s="362">
        <f>IF(ISNUMBER((Tasas!C19-Datos!BE19)/Datos!BE19),(Tasas!C19-Datos!BE19)/Datos!BE19," - ")</f>
        <v>-0.33518522541257889</v>
      </c>
      <c r="J19" s="363">
        <f>IF(ISNUMBER((Tasas!D19-Datos!BF19)/Datos!BF19),(Tasas!D19-Datos!BF19)/Datos!BF19," - ")</f>
        <v>0.13728922714285677</v>
      </c>
      <c r="K19" s="364">
        <f>IF(ISNUMBER((Tasas!E19-Datos!BG19)/Datos!BG19),(Tasas!E19-Datos!BG19)/Datos!BG19," - ")</f>
        <v>-0.23230177482099146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0.25871132837202332</v>
      </c>
      <c r="E21" s="278">
        <f t="shared" si="1"/>
        <v>0.21923077122790197</v>
      </c>
      <c r="F21" s="278">
        <f t="shared" si="1"/>
        <v>0.27038889124533139</v>
      </c>
      <c r="G21" s="279">
        <f t="shared" si="1"/>
        <v>0.239003133912014</v>
      </c>
      <c r="H21" s="285">
        <f t="shared" si="1"/>
        <v>0.34614592057763144</v>
      </c>
      <c r="I21" s="277">
        <f t="shared" si="1"/>
        <v>0.47985681676771363</v>
      </c>
      <c r="J21" s="278">
        <f t="shared" si="1"/>
        <v>0.20843036254438577</v>
      </c>
      <c r="K21" s="279">
        <f t="shared" si="1"/>
        <v>0.31603218564085578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pV6NxadQC1YHy668A/IYu+TIDBdVVLzai4OuMwPgWbxK0mlqYm3fdWrPHoftzhyMpryWDWqxUB1PxryTJitTw==" saltValue="nM1EmlBJreeKAB/ZO5xD5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